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65" tabRatio="623" activeTab="2"/>
  </bookViews>
  <sheets>
    <sheet name="LABA RUGI" sheetId="1" r:id="rId1"/>
    <sheet name="CASH FLOW" sheetId="2" r:id="rId2"/>
    <sheet name="RUGI LABA TK HUNIAN" sheetId="3" r:id="rId3"/>
    <sheet name="PP &amp; NPV" sheetId="4" r:id="rId4"/>
    <sheet name="SENSITIVITAS " sheetId="5" r:id="rId5"/>
    <sheet name="Sheet1" sheetId="6" r:id="rId6"/>
  </sheets>
  <definedNames>
    <definedName name="_xlnm.Print_Area" localSheetId="1">'CASH FLOW'!$A$1:$Y$109</definedName>
    <definedName name="_xlnm.Print_Area" localSheetId="2">'RUGI LABA TK HUNIAN'!$A$29:$E$52</definedName>
  </definedNames>
  <calcPr fullCalcOnLoad="1"/>
</workbook>
</file>

<file path=xl/sharedStrings.xml><?xml version="1.0" encoding="utf-8"?>
<sst xmlns="http://schemas.openxmlformats.org/spreadsheetml/2006/main" count="930" uniqueCount="152">
  <si>
    <t xml:space="preserve">Penerimaan per bulan </t>
  </si>
  <si>
    <t>Ongkos sewa kost</t>
  </si>
  <si>
    <t>Sewa parkir kendaraan</t>
  </si>
  <si>
    <t>Penerimaan tambahan</t>
  </si>
  <si>
    <t>(Barang Elektronik)</t>
  </si>
  <si>
    <t>Biaya Operasioal per bulan</t>
  </si>
  <si>
    <t>Rekening Listrik</t>
  </si>
  <si>
    <t>Pembelian surat kabar</t>
  </si>
  <si>
    <t>Iuran-iuran RT</t>
  </si>
  <si>
    <t>Beras</t>
  </si>
  <si>
    <t>Elpiji</t>
  </si>
  <si>
    <t>Keperluan rumah tangga</t>
  </si>
  <si>
    <t>Gaji pembantu</t>
  </si>
  <si>
    <t>Depresiasi</t>
  </si>
  <si>
    <t>75 Kg @ Rp 3.500,-</t>
  </si>
  <si>
    <t>2 Tabung @ Rp 32.400,-</t>
  </si>
  <si>
    <t>3 orang @ Rp 200.000,-</t>
  </si>
  <si>
    <t>TAHUN KE -</t>
  </si>
  <si>
    <t>Inflow / Sumber Dana</t>
  </si>
  <si>
    <t>Penerimaan</t>
  </si>
  <si>
    <t>Outflow / Penggunaan Dana</t>
  </si>
  <si>
    <t>Pengeluaran</t>
  </si>
  <si>
    <t>Total</t>
  </si>
  <si>
    <t>Investasi</t>
  </si>
  <si>
    <t>Fasilitas</t>
  </si>
  <si>
    <t>Surplus / Defisit</t>
  </si>
  <si>
    <t>Biaya Operasional</t>
  </si>
  <si>
    <t>Laba Kotor (sebelum pajak)</t>
  </si>
  <si>
    <t>Pajak Pph</t>
  </si>
  <si>
    <t>Laba Bersih</t>
  </si>
  <si>
    <t>PAYBACK PERIODE</t>
  </si>
  <si>
    <t>tahun ke 1</t>
  </si>
  <si>
    <t>tahun ke 2</t>
  </si>
  <si>
    <t>tahun ke 3</t>
  </si>
  <si>
    <t>tahun ke 4</t>
  </si>
  <si>
    <t>tahun ke 5</t>
  </si>
  <si>
    <t>tahun ke 6</t>
  </si>
  <si>
    <t>tahun ke 7</t>
  </si>
  <si>
    <t>tahun ke 8</t>
  </si>
  <si>
    <t>tahun ke 9</t>
  </si>
  <si>
    <t>tahun ke 10</t>
  </si>
  <si>
    <t>tahun ke 11</t>
  </si>
  <si>
    <t>tahun ke 12</t>
  </si>
  <si>
    <t>tahun ke 13</t>
  </si>
  <si>
    <t>tahun ke 14</t>
  </si>
  <si>
    <t>tahun ke 15</t>
  </si>
  <si>
    <t>tahun ke 16</t>
  </si>
  <si>
    <t>tahun ke 17</t>
  </si>
  <si>
    <t>tahun ke 18</t>
  </si>
  <si>
    <t>tahun ke 19</t>
  </si>
  <si>
    <t>tahun ke 20</t>
  </si>
  <si>
    <t>NET CASH FLOW</t>
  </si>
  <si>
    <t>TAHUN KE-</t>
  </si>
  <si>
    <t>P</t>
  </si>
  <si>
    <t>Kumulatif</t>
  </si>
  <si>
    <t>INTERPOLASI</t>
  </si>
  <si>
    <t>LAPORAN LABA RUGI AKHIR TAHUN</t>
  </si>
  <si>
    <t>(P/F,15%, n)</t>
  </si>
  <si>
    <t>NET PRESENT VALUE (NPV) dengan tingkat bunga 15%</t>
  </si>
  <si>
    <t>asumsi :</t>
  </si>
  <si>
    <t>2. Besarnya total biaya operasional (pengeluaran) setiap tahunnya meningkat 5 % dari biaya operasional tahun sebelumnya</t>
  </si>
  <si>
    <t>1. Besarnya total penerimaan setiap tahunnya meningkat 10 % dari total penerimaan tahun sebelumnya</t>
  </si>
  <si>
    <t>PERKIRAAN CASH FLOW UNTUK TINGKAT HUNIAN 10 KAMAR</t>
  </si>
  <si>
    <t>3. Besarnya total biaya operasional (pengeluaran) tetap untuk setiap tingkat hunian</t>
  </si>
  <si>
    <t>PERKIRAAN LABA RUGI PER BULAN UNTUK TINGKAT HUNIAN 10 KAMAR</t>
  </si>
  <si>
    <t>PERKIRAAN LABA RUGI PER BULAN UNTUK TINGKAT HUNIAN 9 KAMAR</t>
  </si>
  <si>
    <t>PERKIRAAN LABA RUGI PER BULAN UNTUK TINGKAT HUNIAN 8 KAMAR</t>
  </si>
  <si>
    <t>PERKIRAAN CASH FLOW UNTUK TINGKAT HUNIAN 9 KAMAR</t>
  </si>
  <si>
    <t>PERKIRAAN CASH FLOW UNTUK TINGKAT HUNIAN 8 KAMAR</t>
  </si>
  <si>
    <t>Tingkat Hunian 10 Kamar</t>
  </si>
  <si>
    <t>2 mobil @ Rp 50.000,-</t>
  </si>
  <si>
    <t>11 kamar @ Rp 20.000,-</t>
  </si>
  <si>
    <t>Tingkat Hunian 9 Kamar</t>
  </si>
  <si>
    <t>Tingkat Hunian 8 Kamar</t>
  </si>
  <si>
    <t>TINGKAT HUNIAN 11 KAMAR</t>
  </si>
  <si>
    <t>TINGKAT HUNIAN 10 KAMAR</t>
  </si>
  <si>
    <t>TINGKAT HUNIAN 9 KAMAR</t>
  </si>
  <si>
    <t>TINGKAT HUNIAN 8 KAMAR</t>
  </si>
  <si>
    <t>NPV</t>
  </si>
  <si>
    <t>IRR</t>
  </si>
  <si>
    <t xml:space="preserve">TAHUN </t>
  </si>
  <si>
    <t>BULAN</t>
  </si>
  <si>
    <t>HARI</t>
  </si>
  <si>
    <t xml:space="preserve">TINGKAT HUNIAN </t>
  </si>
  <si>
    <t>(KAMAR)</t>
  </si>
  <si>
    <t>ANALISA SENSITIVITAS</t>
  </si>
  <si>
    <t>10 kamar @ Rp 20.000,-</t>
  </si>
  <si>
    <t>8 kamar @ Rp 20.000,-</t>
  </si>
  <si>
    <t>9 kamar @ Rp 20.000,-</t>
  </si>
  <si>
    <t>PERKIRAAN LABA RUGI PER BULAN UNTUK TINGKAT HUNIAN 11 KAMAR</t>
  </si>
  <si>
    <t>Biaya pemeliharaan</t>
  </si>
  <si>
    <t>DIAGRAM NET CASH FLOW</t>
  </si>
  <si>
    <t>DIAGRAM CASH IN &amp; OUT FLOW</t>
  </si>
  <si>
    <t>Laporan Rugi Laba</t>
  </si>
  <si>
    <t>LAPORAN LABA RUGI</t>
  </si>
  <si>
    <t>PERKIRAAN CASH FLOW</t>
  </si>
  <si>
    <t>11 kamar @ Rp 750.000,-</t>
  </si>
  <si>
    <t>9 kamar @ Rp 750.000,-</t>
  </si>
  <si>
    <t>8 kamar @ Rp 750.000,-</t>
  </si>
  <si>
    <t>10 kamar @ Rp 750.000,-</t>
  </si>
  <si>
    <t xml:space="preserve">Tanah </t>
  </si>
  <si>
    <t>Bangunan</t>
  </si>
  <si>
    <t>Penerimaan = Penerimaan per bulan * (F/A, 1%, 12)</t>
  </si>
  <si>
    <t xml:space="preserve">                  = Rp. 108.693.310,-</t>
  </si>
  <si>
    <t xml:space="preserve">                  = Rp 8.570.000 x 12,683</t>
  </si>
  <si>
    <t>Pengeluaran = pengeluaran per bulan x 12 bulan</t>
  </si>
  <si>
    <t>Keterangan Kolom Tahun ke - 1 :</t>
  </si>
  <si>
    <t xml:space="preserve">                  = Rp 108.693.310 x 110 %</t>
  </si>
  <si>
    <t xml:space="preserve">                  = Rp 119.562.641,-</t>
  </si>
  <si>
    <t>Keterangan Kolom Tahun ke - 2 dst:</t>
  </si>
  <si>
    <t xml:space="preserve">                   = Rp 3,922,643 x 12</t>
  </si>
  <si>
    <t xml:space="preserve">                   = Rp 47.071.716 x 105 %</t>
  </si>
  <si>
    <t xml:space="preserve">                   = Rp 47.071.716,-</t>
  </si>
  <si>
    <t xml:space="preserve">                   = Rp 49.425.302,-</t>
  </si>
  <si>
    <t xml:space="preserve">Penerimaan = Penerimaan tahun ke 1 x 110 % (peningkatan 10 % per tahun) </t>
  </si>
  <si>
    <t>Pengeluaran = Pengeluaran tahun ke 1 x 105 % (peningkatan 5 % per tahun)</t>
  </si>
  <si>
    <t>Jadi Payback periodenya selama 8 tahun 5 bulan 23 hari</t>
  </si>
  <si>
    <t>Jadi Payback periodenya selama 8 tahun 11 bulan 9 hari</t>
  </si>
  <si>
    <t>Jadi Payback periodenya selama 9 tahun 9 bulan 26 hari</t>
  </si>
  <si>
    <t>Jadi Payback periodenya selama 10 tahun 11 bulan 21 hari</t>
  </si>
  <si>
    <t>NILAI NPV = Rp 138.597.120,-</t>
  </si>
  <si>
    <t>NILAI NPV = Rp 76.355.891</t>
  </si>
  <si>
    <t>NILAI NPV = - Rp 37.932.186</t>
  </si>
  <si>
    <t>NILAI NPV = - Rp 152.220.263</t>
  </si>
  <si>
    <t>(P/F,20%, n)</t>
  </si>
  <si>
    <t>NILAI NPV = - Rp 201.894.477</t>
  </si>
  <si>
    <t>NET PRESENT VALUE (NPV) dengan tingkat bunga 20%</t>
  </si>
  <si>
    <t>NILAI NPV = Rp 246.919.744</t>
  </si>
  <si>
    <t>NILAI NPV = Rp 327.449.745</t>
  </si>
  <si>
    <t>NILAI NPV = -Rp 407.979.746</t>
  </si>
  <si>
    <r>
      <t xml:space="preserve"> </t>
    </r>
    <r>
      <rPr>
        <b/>
        <sz val="12"/>
        <rFont val="Symbol"/>
        <family val="1"/>
      </rPr>
      <t>S</t>
    </r>
    <r>
      <rPr>
        <b/>
        <sz val="12"/>
        <rFont val="Times New Roman"/>
        <family val="1"/>
      </rPr>
      <t xml:space="preserve"> Pendapatan Bersih</t>
    </r>
  </si>
  <si>
    <t>NILAI IRR = 17.035 %</t>
  </si>
  <si>
    <t>NILAI IRR = 15.97 %</t>
  </si>
  <si>
    <t>NILAI IRR = 14.6 %</t>
  </si>
  <si>
    <t>NILAI IRR = 13.188 %</t>
  </si>
  <si>
    <t>4.3.1.</t>
  </si>
  <si>
    <t>4.3.2.    Perkiraan Cash Flow</t>
  </si>
  <si>
    <t>Tabel 4.6. Tabel perkiraan cash flow</t>
  </si>
  <si>
    <t>4.3.3.    Laporan Laba Rugi Akhir Tahun (NET CASHFLOW)</t>
  </si>
  <si>
    <t>Tabel 4.7. Tabel Laporan Laba Rugi Akhir Tahun</t>
  </si>
  <si>
    <t>Tabel 4.9. Tabel PayBack Periode</t>
  </si>
  <si>
    <t>Tabel 4.10. Tabel Pendapatan Bersih</t>
  </si>
  <si>
    <t>Tabel 4.11. Tabel NET PRESENT VALUE (NPV) dengan tingkat bunga 15%</t>
  </si>
  <si>
    <t>Tabel 4.12. Tabel NET PRESENT VALUE (NPV) dengan tingkat bunga 20%</t>
  </si>
  <si>
    <t>Tahun Ke</t>
  </si>
  <si>
    <t xml:space="preserve">Cash out </t>
  </si>
  <si>
    <t>(Pengeluaranh = Biaya operasional + Pph)</t>
  </si>
  <si>
    <t xml:space="preserve">Cash in </t>
  </si>
  <si>
    <t>(Penerimaan)</t>
  </si>
  <si>
    <t xml:space="preserve">Net Cash </t>
  </si>
  <si>
    <t>(Laba Bersih)</t>
  </si>
  <si>
    <t>Tabel 4.8. Tabel CashFlow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</si>
</sst>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2" fontId="1" fillId="0" borderId="0" xfId="18" applyFont="1" applyAlignment="1">
      <alignment/>
    </xf>
    <xf numFmtId="42" fontId="1" fillId="0" borderId="1" xfId="18" applyFont="1" applyBorder="1" applyAlignment="1">
      <alignment/>
    </xf>
    <xf numFmtId="42" fontId="2" fillId="0" borderId="0" xfId="18" applyFont="1" applyAlignment="1">
      <alignment/>
    </xf>
    <xf numFmtId="42" fontId="2" fillId="0" borderId="0" xfId="18" applyFont="1" applyBorder="1" applyAlignment="1">
      <alignment/>
    </xf>
    <xf numFmtId="0" fontId="2" fillId="0" borderId="0" xfId="0" applyFont="1" applyAlignment="1">
      <alignment/>
    </xf>
    <xf numFmtId="42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42" fontId="1" fillId="0" borderId="3" xfId="18" applyFont="1" applyBorder="1" applyAlignment="1">
      <alignment/>
    </xf>
    <xf numFmtId="42" fontId="1" fillId="0" borderId="4" xfId="18" applyFont="1" applyBorder="1" applyAlignment="1">
      <alignment/>
    </xf>
    <xf numFmtId="42" fontId="1" fillId="0" borderId="5" xfId="18" applyFont="1" applyBorder="1" applyAlignment="1">
      <alignment/>
    </xf>
    <xf numFmtId="42" fontId="1" fillId="0" borderId="3" xfId="0" applyNumberFormat="1" applyFont="1" applyBorder="1" applyAlignment="1">
      <alignment/>
    </xf>
    <xf numFmtId="0" fontId="2" fillId="0" borderId="2" xfId="0" applyFont="1" applyBorder="1" applyAlignment="1">
      <alignment/>
    </xf>
    <xf numFmtId="42" fontId="1" fillId="0" borderId="2" xfId="18" applyFont="1" applyBorder="1" applyAlignment="1">
      <alignment/>
    </xf>
    <xf numFmtId="42" fontId="1" fillId="0" borderId="6" xfId="18" applyFont="1" applyBorder="1" applyAlignment="1">
      <alignment/>
    </xf>
    <xf numFmtId="0" fontId="1" fillId="0" borderId="0" xfId="0" applyFont="1" applyBorder="1" applyAlignment="1">
      <alignment/>
    </xf>
    <xf numFmtId="42" fontId="1" fillId="0" borderId="2" xfId="0" applyNumberFormat="1" applyFont="1" applyBorder="1" applyAlignment="1">
      <alignment/>
    </xf>
    <xf numFmtId="42" fontId="1" fillId="0" borderId="0" xfId="18" applyFont="1" applyAlignment="1">
      <alignment horizontal="right"/>
    </xf>
    <xf numFmtId="0" fontId="1" fillId="0" borderId="0" xfId="0" applyFont="1" applyBorder="1" applyAlignment="1">
      <alignment horizontal="center"/>
    </xf>
    <xf numFmtId="42" fontId="1" fillId="0" borderId="0" xfId="0" applyNumberFormat="1" applyFont="1" applyBorder="1" applyAlignment="1">
      <alignment/>
    </xf>
    <xf numFmtId="42" fontId="2" fillId="0" borderId="5" xfId="18" applyFont="1" applyBorder="1" applyAlignment="1">
      <alignment/>
    </xf>
    <xf numFmtId="0" fontId="2" fillId="0" borderId="0" xfId="0" applyFont="1" applyBorder="1" applyAlignment="1">
      <alignment/>
    </xf>
    <xf numFmtId="42" fontId="2" fillId="0" borderId="2" xfId="18" applyFont="1" applyBorder="1" applyAlignment="1">
      <alignment/>
    </xf>
    <xf numFmtId="42" fontId="1" fillId="0" borderId="7" xfId="18" applyFont="1" applyBorder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10" fontId="1" fillId="0" borderId="2" xfId="2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2" xfId="21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6" fontId="1" fillId="0" borderId="0" xfId="18" applyNumberFormat="1" applyFont="1" applyAlignment="1">
      <alignment horizontal="right"/>
    </xf>
    <xf numFmtId="42" fontId="1" fillId="0" borderId="0" xfId="18" applyFont="1" applyBorder="1" applyAlignment="1">
      <alignment/>
    </xf>
    <xf numFmtId="42" fontId="2" fillId="0" borderId="9" xfId="0" applyNumberFormat="1" applyFont="1" applyBorder="1" applyAlignment="1">
      <alignment/>
    </xf>
    <xf numFmtId="42" fontId="2" fillId="0" borderId="10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2" fontId="1" fillId="0" borderId="8" xfId="18" applyFont="1" applyBorder="1" applyAlignment="1">
      <alignment/>
    </xf>
    <xf numFmtId="42" fontId="1" fillId="0" borderId="12" xfId="18" applyFont="1" applyBorder="1" applyAlignment="1">
      <alignment/>
    </xf>
    <xf numFmtId="0" fontId="1" fillId="0" borderId="13" xfId="0" applyFont="1" applyBorder="1" applyAlignment="1">
      <alignment horizontal="center"/>
    </xf>
    <xf numFmtId="9" fontId="1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5" fontId="1" fillId="0" borderId="2" xfId="18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2" fontId="1" fillId="0" borderId="17" xfId="18" applyFont="1" applyBorder="1" applyAlignment="1">
      <alignment horizontal="center"/>
    </xf>
    <xf numFmtId="5" fontId="1" fillId="0" borderId="17" xfId="18" applyNumberFormat="1" applyFont="1" applyBorder="1" applyAlignment="1">
      <alignment horizontal="center"/>
    </xf>
    <xf numFmtId="42" fontId="1" fillId="0" borderId="18" xfId="18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2" fontId="1" fillId="0" borderId="20" xfId="18" applyFont="1" applyBorder="1" applyAlignment="1">
      <alignment/>
    </xf>
    <xf numFmtId="0" fontId="1" fillId="0" borderId="21" xfId="0" applyFont="1" applyBorder="1" applyAlignment="1">
      <alignment horizontal="center"/>
    </xf>
    <xf numFmtId="5" fontId="1" fillId="0" borderId="7" xfId="18" applyNumberFormat="1" applyFont="1" applyBorder="1" applyAlignment="1">
      <alignment horizontal="center"/>
    </xf>
    <xf numFmtId="42" fontId="1" fillId="0" borderId="22" xfId="18" applyFont="1" applyBorder="1" applyAlignment="1">
      <alignment/>
    </xf>
    <xf numFmtId="42" fontId="1" fillId="0" borderId="0" xfId="18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9</xdr:row>
      <xdr:rowOff>104775</xdr:rowOff>
    </xdr:from>
    <xdr:to>
      <xdr:col>6</xdr:col>
      <xdr:colOff>504825</xdr:colOff>
      <xdr:row>9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591050" y="19050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104775</xdr:rowOff>
    </xdr:from>
    <xdr:to>
      <xdr:col>4</xdr:col>
      <xdr:colOff>847725</xdr:colOff>
      <xdr:row>11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4600575" y="1905000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7</xdr:row>
      <xdr:rowOff>28575</xdr:rowOff>
    </xdr:from>
    <xdr:to>
      <xdr:col>6</xdr:col>
      <xdr:colOff>495300</xdr:colOff>
      <xdr:row>9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6629400" y="14287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7</xdr:row>
      <xdr:rowOff>38100</xdr:rowOff>
    </xdr:from>
    <xdr:to>
      <xdr:col>6</xdr:col>
      <xdr:colOff>504825</xdr:colOff>
      <xdr:row>11</xdr:row>
      <xdr:rowOff>171450</xdr:rowOff>
    </xdr:to>
    <xdr:sp>
      <xdr:nvSpPr>
        <xdr:cNvPr id="4" name="Line 6"/>
        <xdr:cNvSpPr>
          <a:spLocks/>
        </xdr:cNvSpPr>
      </xdr:nvSpPr>
      <xdr:spPr>
        <a:xfrm flipV="1">
          <a:off x="4610100" y="1438275"/>
          <a:ext cx="20288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914400</xdr:colOff>
      <xdr:row>9</xdr:row>
      <xdr:rowOff>152400</xdr:rowOff>
    </xdr:from>
    <xdr:ext cx="142875" cy="200025"/>
    <xdr:sp>
      <xdr:nvSpPr>
        <xdr:cNvPr id="5" name="TextBox 8"/>
        <xdr:cNvSpPr txBox="1">
          <a:spLocks noChangeArrowheads="1"/>
        </xdr:cNvSpPr>
      </xdr:nvSpPr>
      <xdr:spPr>
        <a:xfrm>
          <a:off x="4676775" y="19526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6</xdr:col>
      <xdr:colOff>400050</xdr:colOff>
      <xdr:row>9</xdr:row>
      <xdr:rowOff>171450</xdr:rowOff>
    </xdr:from>
    <xdr:ext cx="142875" cy="200025"/>
    <xdr:sp>
      <xdr:nvSpPr>
        <xdr:cNvPr id="6" name="TextBox 9"/>
        <xdr:cNvSpPr txBox="1">
          <a:spLocks noChangeArrowheads="1"/>
        </xdr:cNvSpPr>
      </xdr:nvSpPr>
      <xdr:spPr>
        <a:xfrm>
          <a:off x="6534150" y="19716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5</xdr:col>
      <xdr:colOff>571500</xdr:colOff>
      <xdr:row>9</xdr:row>
      <xdr:rowOff>171450</xdr:rowOff>
    </xdr:from>
    <xdr:ext cx="142875" cy="200025"/>
    <xdr:sp>
      <xdr:nvSpPr>
        <xdr:cNvPr id="7" name="TextBox 10"/>
        <xdr:cNvSpPr txBox="1">
          <a:spLocks noChangeArrowheads="1"/>
        </xdr:cNvSpPr>
      </xdr:nvSpPr>
      <xdr:spPr>
        <a:xfrm>
          <a:off x="5543550" y="19716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oneCellAnchor>
  <xdr:twoCellAnchor>
    <xdr:from>
      <xdr:col>4</xdr:col>
      <xdr:colOff>828675</xdr:colOff>
      <xdr:row>37</xdr:row>
      <xdr:rowOff>104775</xdr:rowOff>
    </xdr:from>
    <xdr:to>
      <xdr:col>6</xdr:col>
      <xdr:colOff>504825</xdr:colOff>
      <xdr:row>37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4591050" y="75247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37</xdr:row>
      <xdr:rowOff>104775</xdr:rowOff>
    </xdr:from>
    <xdr:to>
      <xdr:col>4</xdr:col>
      <xdr:colOff>847725</xdr:colOff>
      <xdr:row>39</xdr:row>
      <xdr:rowOff>161925</xdr:rowOff>
    </xdr:to>
    <xdr:sp>
      <xdr:nvSpPr>
        <xdr:cNvPr id="9" name="Line 12"/>
        <xdr:cNvSpPr>
          <a:spLocks/>
        </xdr:cNvSpPr>
      </xdr:nvSpPr>
      <xdr:spPr>
        <a:xfrm>
          <a:off x="4600575" y="7524750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35</xdr:row>
      <xdr:rowOff>28575</xdr:rowOff>
    </xdr:from>
    <xdr:to>
      <xdr:col>6</xdr:col>
      <xdr:colOff>495300</xdr:colOff>
      <xdr:row>37</xdr:row>
      <xdr:rowOff>104775</xdr:rowOff>
    </xdr:to>
    <xdr:sp>
      <xdr:nvSpPr>
        <xdr:cNvPr id="10" name="Line 13"/>
        <xdr:cNvSpPr>
          <a:spLocks/>
        </xdr:cNvSpPr>
      </xdr:nvSpPr>
      <xdr:spPr>
        <a:xfrm flipV="1">
          <a:off x="6629400" y="70485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35</xdr:row>
      <xdr:rowOff>38100</xdr:rowOff>
    </xdr:from>
    <xdr:to>
      <xdr:col>6</xdr:col>
      <xdr:colOff>504825</xdr:colOff>
      <xdr:row>39</xdr:row>
      <xdr:rowOff>171450</xdr:rowOff>
    </xdr:to>
    <xdr:sp>
      <xdr:nvSpPr>
        <xdr:cNvPr id="11" name="Line 14"/>
        <xdr:cNvSpPr>
          <a:spLocks/>
        </xdr:cNvSpPr>
      </xdr:nvSpPr>
      <xdr:spPr>
        <a:xfrm flipV="1">
          <a:off x="4610100" y="7058025"/>
          <a:ext cx="20288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914400</xdr:colOff>
      <xdr:row>37</xdr:row>
      <xdr:rowOff>152400</xdr:rowOff>
    </xdr:from>
    <xdr:ext cx="142875" cy="200025"/>
    <xdr:sp>
      <xdr:nvSpPr>
        <xdr:cNvPr id="12" name="TextBox 16"/>
        <xdr:cNvSpPr txBox="1">
          <a:spLocks noChangeArrowheads="1"/>
        </xdr:cNvSpPr>
      </xdr:nvSpPr>
      <xdr:spPr>
        <a:xfrm>
          <a:off x="4676775" y="75723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6</xdr:col>
      <xdr:colOff>409575</xdr:colOff>
      <xdr:row>37</xdr:row>
      <xdr:rowOff>171450</xdr:rowOff>
    </xdr:from>
    <xdr:ext cx="142875" cy="200025"/>
    <xdr:sp>
      <xdr:nvSpPr>
        <xdr:cNvPr id="13" name="TextBox 17"/>
        <xdr:cNvSpPr txBox="1">
          <a:spLocks noChangeArrowheads="1"/>
        </xdr:cNvSpPr>
      </xdr:nvSpPr>
      <xdr:spPr>
        <a:xfrm>
          <a:off x="6543675" y="75914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5</xdr:col>
      <xdr:colOff>571500</xdr:colOff>
      <xdr:row>37</xdr:row>
      <xdr:rowOff>171450</xdr:rowOff>
    </xdr:from>
    <xdr:ext cx="142875" cy="200025"/>
    <xdr:sp>
      <xdr:nvSpPr>
        <xdr:cNvPr id="14" name="TextBox 18"/>
        <xdr:cNvSpPr txBox="1">
          <a:spLocks noChangeArrowheads="1"/>
        </xdr:cNvSpPr>
      </xdr:nvSpPr>
      <xdr:spPr>
        <a:xfrm>
          <a:off x="5543550" y="75914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oneCellAnchor>
  <xdr:twoCellAnchor>
    <xdr:from>
      <xdr:col>4</xdr:col>
      <xdr:colOff>828675</xdr:colOff>
      <xdr:row>65</xdr:row>
      <xdr:rowOff>104775</xdr:rowOff>
    </xdr:from>
    <xdr:to>
      <xdr:col>6</xdr:col>
      <xdr:colOff>504825</xdr:colOff>
      <xdr:row>65</xdr:row>
      <xdr:rowOff>104775</xdr:rowOff>
    </xdr:to>
    <xdr:sp>
      <xdr:nvSpPr>
        <xdr:cNvPr id="15" name="Line 19"/>
        <xdr:cNvSpPr>
          <a:spLocks/>
        </xdr:cNvSpPr>
      </xdr:nvSpPr>
      <xdr:spPr>
        <a:xfrm>
          <a:off x="4591050" y="131254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65</xdr:row>
      <xdr:rowOff>104775</xdr:rowOff>
    </xdr:from>
    <xdr:to>
      <xdr:col>4</xdr:col>
      <xdr:colOff>847725</xdr:colOff>
      <xdr:row>67</xdr:row>
      <xdr:rowOff>161925</xdr:rowOff>
    </xdr:to>
    <xdr:sp>
      <xdr:nvSpPr>
        <xdr:cNvPr id="16" name="Line 20"/>
        <xdr:cNvSpPr>
          <a:spLocks/>
        </xdr:cNvSpPr>
      </xdr:nvSpPr>
      <xdr:spPr>
        <a:xfrm>
          <a:off x="4600575" y="13125450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63</xdr:row>
      <xdr:rowOff>28575</xdr:rowOff>
    </xdr:from>
    <xdr:to>
      <xdr:col>6</xdr:col>
      <xdr:colOff>495300</xdr:colOff>
      <xdr:row>65</xdr:row>
      <xdr:rowOff>104775</xdr:rowOff>
    </xdr:to>
    <xdr:sp>
      <xdr:nvSpPr>
        <xdr:cNvPr id="17" name="Line 21"/>
        <xdr:cNvSpPr>
          <a:spLocks/>
        </xdr:cNvSpPr>
      </xdr:nvSpPr>
      <xdr:spPr>
        <a:xfrm flipV="1">
          <a:off x="6629400" y="126492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63</xdr:row>
      <xdr:rowOff>38100</xdr:rowOff>
    </xdr:from>
    <xdr:to>
      <xdr:col>6</xdr:col>
      <xdr:colOff>504825</xdr:colOff>
      <xdr:row>67</xdr:row>
      <xdr:rowOff>171450</xdr:rowOff>
    </xdr:to>
    <xdr:sp>
      <xdr:nvSpPr>
        <xdr:cNvPr id="18" name="Line 22"/>
        <xdr:cNvSpPr>
          <a:spLocks/>
        </xdr:cNvSpPr>
      </xdr:nvSpPr>
      <xdr:spPr>
        <a:xfrm flipV="1">
          <a:off x="4610100" y="12658725"/>
          <a:ext cx="20288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914400</xdr:colOff>
      <xdr:row>65</xdr:row>
      <xdr:rowOff>152400</xdr:rowOff>
    </xdr:from>
    <xdr:ext cx="142875" cy="200025"/>
    <xdr:sp>
      <xdr:nvSpPr>
        <xdr:cNvPr id="19" name="TextBox 24"/>
        <xdr:cNvSpPr txBox="1">
          <a:spLocks noChangeArrowheads="1"/>
        </xdr:cNvSpPr>
      </xdr:nvSpPr>
      <xdr:spPr>
        <a:xfrm>
          <a:off x="4676775" y="131730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6</xdr:col>
      <xdr:colOff>400050</xdr:colOff>
      <xdr:row>65</xdr:row>
      <xdr:rowOff>171450</xdr:rowOff>
    </xdr:from>
    <xdr:ext cx="209550" cy="200025"/>
    <xdr:sp>
      <xdr:nvSpPr>
        <xdr:cNvPr id="20" name="TextBox 25"/>
        <xdr:cNvSpPr txBox="1">
          <a:spLocks noChangeArrowheads="1"/>
        </xdr:cNvSpPr>
      </xdr:nvSpPr>
      <xdr:spPr>
        <a:xfrm>
          <a:off x="6534150" y="131921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5</xdr:col>
      <xdr:colOff>571500</xdr:colOff>
      <xdr:row>65</xdr:row>
      <xdr:rowOff>171450</xdr:rowOff>
    </xdr:from>
    <xdr:ext cx="142875" cy="200025"/>
    <xdr:sp>
      <xdr:nvSpPr>
        <xdr:cNvPr id="21" name="TextBox 26"/>
        <xdr:cNvSpPr txBox="1">
          <a:spLocks noChangeArrowheads="1"/>
        </xdr:cNvSpPr>
      </xdr:nvSpPr>
      <xdr:spPr>
        <a:xfrm>
          <a:off x="5543550" y="131921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oneCellAnchor>
  <xdr:twoCellAnchor>
    <xdr:from>
      <xdr:col>4</xdr:col>
      <xdr:colOff>828675</xdr:colOff>
      <xdr:row>93</xdr:row>
      <xdr:rowOff>104775</xdr:rowOff>
    </xdr:from>
    <xdr:to>
      <xdr:col>6</xdr:col>
      <xdr:colOff>504825</xdr:colOff>
      <xdr:row>93</xdr:row>
      <xdr:rowOff>104775</xdr:rowOff>
    </xdr:to>
    <xdr:sp>
      <xdr:nvSpPr>
        <xdr:cNvPr id="22" name="Line 27"/>
        <xdr:cNvSpPr>
          <a:spLocks/>
        </xdr:cNvSpPr>
      </xdr:nvSpPr>
      <xdr:spPr>
        <a:xfrm>
          <a:off x="4591050" y="187261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93</xdr:row>
      <xdr:rowOff>104775</xdr:rowOff>
    </xdr:from>
    <xdr:to>
      <xdr:col>4</xdr:col>
      <xdr:colOff>847725</xdr:colOff>
      <xdr:row>95</xdr:row>
      <xdr:rowOff>161925</xdr:rowOff>
    </xdr:to>
    <xdr:sp>
      <xdr:nvSpPr>
        <xdr:cNvPr id="23" name="Line 28"/>
        <xdr:cNvSpPr>
          <a:spLocks/>
        </xdr:cNvSpPr>
      </xdr:nvSpPr>
      <xdr:spPr>
        <a:xfrm>
          <a:off x="4600575" y="18726150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91</xdr:row>
      <xdr:rowOff>28575</xdr:rowOff>
    </xdr:from>
    <xdr:to>
      <xdr:col>6</xdr:col>
      <xdr:colOff>495300</xdr:colOff>
      <xdr:row>93</xdr:row>
      <xdr:rowOff>104775</xdr:rowOff>
    </xdr:to>
    <xdr:sp>
      <xdr:nvSpPr>
        <xdr:cNvPr id="24" name="Line 29"/>
        <xdr:cNvSpPr>
          <a:spLocks/>
        </xdr:cNvSpPr>
      </xdr:nvSpPr>
      <xdr:spPr>
        <a:xfrm flipV="1">
          <a:off x="6629400" y="182499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91</xdr:row>
      <xdr:rowOff>38100</xdr:rowOff>
    </xdr:from>
    <xdr:to>
      <xdr:col>6</xdr:col>
      <xdr:colOff>504825</xdr:colOff>
      <xdr:row>95</xdr:row>
      <xdr:rowOff>171450</xdr:rowOff>
    </xdr:to>
    <xdr:sp>
      <xdr:nvSpPr>
        <xdr:cNvPr id="25" name="Line 30"/>
        <xdr:cNvSpPr>
          <a:spLocks/>
        </xdr:cNvSpPr>
      </xdr:nvSpPr>
      <xdr:spPr>
        <a:xfrm flipV="1">
          <a:off x="4610100" y="18259425"/>
          <a:ext cx="20288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914400</xdr:colOff>
      <xdr:row>93</xdr:row>
      <xdr:rowOff>152400</xdr:rowOff>
    </xdr:from>
    <xdr:ext cx="209550" cy="200025"/>
    <xdr:sp>
      <xdr:nvSpPr>
        <xdr:cNvPr id="26" name="TextBox 32"/>
        <xdr:cNvSpPr txBox="1">
          <a:spLocks noChangeArrowheads="1"/>
        </xdr:cNvSpPr>
      </xdr:nvSpPr>
      <xdr:spPr>
        <a:xfrm>
          <a:off x="4676775" y="187737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6</xdr:col>
      <xdr:colOff>400050</xdr:colOff>
      <xdr:row>93</xdr:row>
      <xdr:rowOff>171450</xdr:rowOff>
    </xdr:from>
    <xdr:ext cx="209550" cy="200025"/>
    <xdr:sp>
      <xdr:nvSpPr>
        <xdr:cNvPr id="27" name="TextBox 33"/>
        <xdr:cNvSpPr txBox="1">
          <a:spLocks noChangeArrowheads="1"/>
        </xdr:cNvSpPr>
      </xdr:nvSpPr>
      <xdr:spPr>
        <a:xfrm>
          <a:off x="6534150" y="187928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5</xdr:col>
      <xdr:colOff>571500</xdr:colOff>
      <xdr:row>93</xdr:row>
      <xdr:rowOff>171450</xdr:rowOff>
    </xdr:from>
    <xdr:ext cx="142875" cy="200025"/>
    <xdr:sp>
      <xdr:nvSpPr>
        <xdr:cNvPr id="28" name="TextBox 34"/>
        <xdr:cNvSpPr txBox="1">
          <a:spLocks noChangeArrowheads="1"/>
        </xdr:cNvSpPr>
      </xdr:nvSpPr>
      <xdr:spPr>
        <a:xfrm>
          <a:off x="5543550" y="187928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9525</xdr:rowOff>
    </xdr:from>
    <xdr:to>
      <xdr:col>21</xdr:col>
      <xdr:colOff>0</xdr:colOff>
      <xdr:row>17</xdr:row>
      <xdr:rowOff>9525</xdr:rowOff>
    </xdr:to>
    <xdr:sp>
      <xdr:nvSpPr>
        <xdr:cNvPr id="1" name="Line 2"/>
        <xdr:cNvSpPr>
          <a:spLocks/>
        </xdr:cNvSpPr>
      </xdr:nvSpPr>
      <xdr:spPr>
        <a:xfrm>
          <a:off x="381000" y="3390900"/>
          <a:ext cx="762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9525</xdr:colOff>
      <xdr:row>17</xdr:row>
      <xdr:rowOff>9525</xdr:rowOff>
    </xdr:to>
    <xdr:sp>
      <xdr:nvSpPr>
        <xdr:cNvPr id="2" name="Line 3"/>
        <xdr:cNvSpPr>
          <a:spLocks/>
        </xdr:cNvSpPr>
      </xdr:nvSpPr>
      <xdr:spPr>
        <a:xfrm flipH="1" flipV="1">
          <a:off x="381000" y="581025"/>
          <a:ext cx="9525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9525</xdr:rowOff>
    </xdr:from>
    <xdr:to>
      <xdr:col>2</xdr:col>
      <xdr:colOff>0</xdr:colOff>
      <xdr:row>17</xdr:row>
      <xdr:rowOff>142875</xdr:rowOff>
    </xdr:to>
    <xdr:sp>
      <xdr:nvSpPr>
        <xdr:cNvPr id="3" name="Line 4"/>
        <xdr:cNvSpPr>
          <a:spLocks/>
        </xdr:cNvSpPr>
      </xdr:nvSpPr>
      <xdr:spPr>
        <a:xfrm>
          <a:off x="762000" y="33909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4</xdr:col>
      <xdr:colOff>9525</xdr:colOff>
      <xdr:row>19</xdr:row>
      <xdr:rowOff>28575</xdr:rowOff>
    </xdr:to>
    <xdr:sp>
      <xdr:nvSpPr>
        <xdr:cNvPr id="4" name="Line 6"/>
        <xdr:cNvSpPr>
          <a:spLocks/>
        </xdr:cNvSpPr>
      </xdr:nvSpPr>
      <xdr:spPr>
        <a:xfrm flipH="1">
          <a:off x="1524000" y="3400425"/>
          <a:ext cx="95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9525</xdr:colOff>
      <xdr:row>19</xdr:row>
      <xdr:rowOff>85725</xdr:rowOff>
    </xdr:to>
    <xdr:sp>
      <xdr:nvSpPr>
        <xdr:cNvPr id="5" name="Line 7"/>
        <xdr:cNvSpPr>
          <a:spLocks/>
        </xdr:cNvSpPr>
      </xdr:nvSpPr>
      <xdr:spPr>
        <a:xfrm>
          <a:off x="1914525" y="33909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20</xdr:row>
      <xdr:rowOff>57150</xdr:rowOff>
    </xdr:to>
    <xdr:sp>
      <xdr:nvSpPr>
        <xdr:cNvPr id="6" name="Line 8"/>
        <xdr:cNvSpPr>
          <a:spLocks/>
        </xdr:cNvSpPr>
      </xdr:nvSpPr>
      <xdr:spPr>
        <a:xfrm>
          <a:off x="2286000" y="34004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9525</xdr:colOff>
      <xdr:row>21</xdr:row>
      <xdr:rowOff>28575</xdr:rowOff>
    </xdr:to>
    <xdr:sp>
      <xdr:nvSpPr>
        <xdr:cNvPr id="7" name="Line 9"/>
        <xdr:cNvSpPr>
          <a:spLocks/>
        </xdr:cNvSpPr>
      </xdr:nvSpPr>
      <xdr:spPr>
        <a:xfrm>
          <a:off x="2676525" y="33909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9525</xdr:rowOff>
    </xdr:from>
    <xdr:to>
      <xdr:col>8</xdr:col>
      <xdr:colOff>0</xdr:colOff>
      <xdr:row>21</xdr:row>
      <xdr:rowOff>95250</xdr:rowOff>
    </xdr:to>
    <xdr:sp>
      <xdr:nvSpPr>
        <xdr:cNvPr id="8" name="Line 10"/>
        <xdr:cNvSpPr>
          <a:spLocks/>
        </xdr:cNvSpPr>
      </xdr:nvSpPr>
      <xdr:spPr>
        <a:xfrm>
          <a:off x="3048000" y="339090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9525</xdr:rowOff>
    </xdr:from>
    <xdr:to>
      <xdr:col>9</xdr:col>
      <xdr:colOff>0</xdr:colOff>
      <xdr:row>22</xdr:row>
      <xdr:rowOff>0</xdr:rowOff>
    </xdr:to>
    <xdr:sp>
      <xdr:nvSpPr>
        <xdr:cNvPr id="9" name="Line 11"/>
        <xdr:cNvSpPr>
          <a:spLocks/>
        </xdr:cNvSpPr>
      </xdr:nvSpPr>
      <xdr:spPr>
        <a:xfrm>
          <a:off x="3429000" y="33909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9525</xdr:rowOff>
    </xdr:from>
    <xdr:to>
      <xdr:col>10</xdr:col>
      <xdr:colOff>0</xdr:colOff>
      <xdr:row>22</xdr:row>
      <xdr:rowOff>76200</xdr:rowOff>
    </xdr:to>
    <xdr:sp>
      <xdr:nvSpPr>
        <xdr:cNvPr id="10" name="Line 12"/>
        <xdr:cNvSpPr>
          <a:spLocks/>
        </xdr:cNvSpPr>
      </xdr:nvSpPr>
      <xdr:spPr>
        <a:xfrm>
          <a:off x="3810000" y="33909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19050</xdr:rowOff>
    </xdr:from>
    <xdr:to>
      <xdr:col>11</xdr:col>
      <xdr:colOff>0</xdr:colOff>
      <xdr:row>23</xdr:row>
      <xdr:rowOff>9525</xdr:rowOff>
    </xdr:to>
    <xdr:sp>
      <xdr:nvSpPr>
        <xdr:cNvPr id="11" name="Line 13"/>
        <xdr:cNvSpPr>
          <a:spLocks/>
        </xdr:cNvSpPr>
      </xdr:nvSpPr>
      <xdr:spPr>
        <a:xfrm>
          <a:off x="4191000" y="340042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9525</xdr:rowOff>
    </xdr:from>
    <xdr:to>
      <xdr:col>12</xdr:col>
      <xdr:colOff>9525</xdr:colOff>
      <xdr:row>23</xdr:row>
      <xdr:rowOff>85725</xdr:rowOff>
    </xdr:to>
    <xdr:sp>
      <xdr:nvSpPr>
        <xdr:cNvPr id="12" name="Line 14"/>
        <xdr:cNvSpPr>
          <a:spLocks/>
        </xdr:cNvSpPr>
      </xdr:nvSpPr>
      <xdr:spPr>
        <a:xfrm>
          <a:off x="4572000" y="33909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9525</xdr:rowOff>
    </xdr:from>
    <xdr:to>
      <xdr:col>13</xdr:col>
      <xdr:colOff>0</xdr:colOff>
      <xdr:row>23</xdr:row>
      <xdr:rowOff>152400</xdr:rowOff>
    </xdr:to>
    <xdr:sp>
      <xdr:nvSpPr>
        <xdr:cNvPr id="13" name="Line 15"/>
        <xdr:cNvSpPr>
          <a:spLocks/>
        </xdr:cNvSpPr>
      </xdr:nvSpPr>
      <xdr:spPr>
        <a:xfrm>
          <a:off x="4953000" y="3390900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0</xdr:colOff>
      <xdr:row>24</xdr:row>
      <xdr:rowOff>66675</xdr:rowOff>
    </xdr:to>
    <xdr:sp>
      <xdr:nvSpPr>
        <xdr:cNvPr id="14" name="Line 16"/>
        <xdr:cNvSpPr>
          <a:spLocks/>
        </xdr:cNvSpPr>
      </xdr:nvSpPr>
      <xdr:spPr>
        <a:xfrm>
          <a:off x="5334000" y="340042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25</xdr:row>
      <xdr:rowOff>9525</xdr:rowOff>
    </xdr:to>
    <xdr:sp>
      <xdr:nvSpPr>
        <xdr:cNvPr id="15" name="Line 17"/>
        <xdr:cNvSpPr>
          <a:spLocks/>
        </xdr:cNvSpPr>
      </xdr:nvSpPr>
      <xdr:spPr>
        <a:xfrm>
          <a:off x="5715000" y="339090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9525</xdr:rowOff>
    </xdr:from>
    <xdr:to>
      <xdr:col>16</xdr:col>
      <xdr:colOff>0</xdr:colOff>
      <xdr:row>25</xdr:row>
      <xdr:rowOff>85725</xdr:rowOff>
    </xdr:to>
    <xdr:sp>
      <xdr:nvSpPr>
        <xdr:cNvPr id="16" name="Line 18"/>
        <xdr:cNvSpPr>
          <a:spLocks/>
        </xdr:cNvSpPr>
      </xdr:nvSpPr>
      <xdr:spPr>
        <a:xfrm>
          <a:off x="6096000" y="3390900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9525</xdr:rowOff>
    </xdr:from>
    <xdr:to>
      <xdr:col>17</xdr:col>
      <xdr:colOff>0</xdr:colOff>
      <xdr:row>26</xdr:row>
      <xdr:rowOff>0</xdr:rowOff>
    </xdr:to>
    <xdr:sp>
      <xdr:nvSpPr>
        <xdr:cNvPr id="17" name="Line 19"/>
        <xdr:cNvSpPr>
          <a:spLocks/>
        </xdr:cNvSpPr>
      </xdr:nvSpPr>
      <xdr:spPr>
        <a:xfrm>
          <a:off x="6477000" y="3390900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9525</xdr:rowOff>
    </xdr:from>
    <xdr:to>
      <xdr:col>18</xdr:col>
      <xdr:colOff>0</xdr:colOff>
      <xdr:row>26</xdr:row>
      <xdr:rowOff>85725</xdr:rowOff>
    </xdr:to>
    <xdr:sp>
      <xdr:nvSpPr>
        <xdr:cNvPr id="18" name="Line 20"/>
        <xdr:cNvSpPr>
          <a:spLocks/>
        </xdr:cNvSpPr>
      </xdr:nvSpPr>
      <xdr:spPr>
        <a:xfrm>
          <a:off x="6858000" y="3390900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9525</xdr:rowOff>
    </xdr:from>
    <xdr:to>
      <xdr:col>19</xdr:col>
      <xdr:colOff>0</xdr:colOff>
      <xdr:row>26</xdr:row>
      <xdr:rowOff>152400</xdr:rowOff>
    </xdr:to>
    <xdr:sp>
      <xdr:nvSpPr>
        <xdr:cNvPr id="19" name="Line 21"/>
        <xdr:cNvSpPr>
          <a:spLocks/>
        </xdr:cNvSpPr>
      </xdr:nvSpPr>
      <xdr:spPr>
        <a:xfrm>
          <a:off x="7239000" y="33909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9525</xdr:rowOff>
    </xdr:from>
    <xdr:to>
      <xdr:col>20</xdr:col>
      <xdr:colOff>0</xdr:colOff>
      <xdr:row>27</xdr:row>
      <xdr:rowOff>76200</xdr:rowOff>
    </xdr:to>
    <xdr:sp>
      <xdr:nvSpPr>
        <xdr:cNvPr id="20" name="Line 22"/>
        <xdr:cNvSpPr>
          <a:spLocks/>
        </xdr:cNvSpPr>
      </xdr:nvSpPr>
      <xdr:spPr>
        <a:xfrm>
          <a:off x="7620000" y="3390900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0</xdr:colOff>
      <xdr:row>28</xdr:row>
      <xdr:rowOff>9525</xdr:rowOff>
    </xdr:to>
    <xdr:sp>
      <xdr:nvSpPr>
        <xdr:cNvPr id="21" name="Line 23"/>
        <xdr:cNvSpPr>
          <a:spLocks/>
        </xdr:cNvSpPr>
      </xdr:nvSpPr>
      <xdr:spPr>
        <a:xfrm>
          <a:off x="8001000" y="3381375"/>
          <a:ext cx="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9525</xdr:rowOff>
    </xdr:from>
    <xdr:to>
      <xdr:col>21</xdr:col>
      <xdr:colOff>0</xdr:colOff>
      <xdr:row>33</xdr:row>
      <xdr:rowOff>152400</xdr:rowOff>
    </xdr:to>
    <xdr:sp>
      <xdr:nvSpPr>
        <xdr:cNvPr id="22" name="Line 24"/>
        <xdr:cNvSpPr>
          <a:spLocks/>
        </xdr:cNvSpPr>
      </xdr:nvSpPr>
      <xdr:spPr>
        <a:xfrm>
          <a:off x="8001000" y="33909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</xdr:colOff>
      <xdr:row>17</xdr:row>
      <xdr:rowOff>66675</xdr:rowOff>
    </xdr:from>
    <xdr:ext cx="142875" cy="200025"/>
    <xdr:sp>
      <xdr:nvSpPr>
        <xdr:cNvPr id="23" name="TextBox 25"/>
        <xdr:cNvSpPr txBox="1">
          <a:spLocks noChangeArrowheads="1"/>
        </xdr:cNvSpPr>
      </xdr:nvSpPr>
      <xdr:spPr>
        <a:xfrm>
          <a:off x="409575" y="3448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2</xdr:col>
      <xdr:colOff>47625</xdr:colOff>
      <xdr:row>17</xdr:row>
      <xdr:rowOff>76200</xdr:rowOff>
    </xdr:from>
    <xdr:ext cx="142875" cy="200025"/>
    <xdr:sp>
      <xdr:nvSpPr>
        <xdr:cNvPr id="24" name="TextBox 26"/>
        <xdr:cNvSpPr txBox="1">
          <a:spLocks noChangeArrowheads="1"/>
        </xdr:cNvSpPr>
      </xdr:nvSpPr>
      <xdr:spPr>
        <a:xfrm>
          <a:off x="809625" y="345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4</xdr:col>
      <xdr:colOff>28575</xdr:colOff>
      <xdr:row>17</xdr:row>
      <xdr:rowOff>76200</xdr:rowOff>
    </xdr:from>
    <xdr:ext cx="142875" cy="200025"/>
    <xdr:sp>
      <xdr:nvSpPr>
        <xdr:cNvPr id="25" name="TextBox 27"/>
        <xdr:cNvSpPr txBox="1">
          <a:spLocks noChangeArrowheads="1"/>
        </xdr:cNvSpPr>
      </xdr:nvSpPr>
      <xdr:spPr>
        <a:xfrm>
          <a:off x="1552575" y="345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7</xdr:col>
      <xdr:colOff>28575</xdr:colOff>
      <xdr:row>17</xdr:row>
      <xdr:rowOff>76200</xdr:rowOff>
    </xdr:from>
    <xdr:ext cx="142875" cy="200025"/>
    <xdr:sp>
      <xdr:nvSpPr>
        <xdr:cNvPr id="26" name="TextBox 28"/>
        <xdr:cNvSpPr txBox="1">
          <a:spLocks noChangeArrowheads="1"/>
        </xdr:cNvSpPr>
      </xdr:nvSpPr>
      <xdr:spPr>
        <a:xfrm>
          <a:off x="2695575" y="345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5</xdr:col>
      <xdr:colOff>28575</xdr:colOff>
      <xdr:row>17</xdr:row>
      <xdr:rowOff>66675</xdr:rowOff>
    </xdr:from>
    <xdr:ext cx="142875" cy="200025"/>
    <xdr:sp>
      <xdr:nvSpPr>
        <xdr:cNvPr id="27" name="TextBox 29"/>
        <xdr:cNvSpPr txBox="1">
          <a:spLocks noChangeArrowheads="1"/>
        </xdr:cNvSpPr>
      </xdr:nvSpPr>
      <xdr:spPr>
        <a:xfrm>
          <a:off x="1933575" y="3448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3</xdr:col>
      <xdr:colOff>28575</xdr:colOff>
      <xdr:row>17</xdr:row>
      <xdr:rowOff>95250</xdr:rowOff>
    </xdr:from>
    <xdr:ext cx="142875" cy="200025"/>
    <xdr:sp>
      <xdr:nvSpPr>
        <xdr:cNvPr id="28" name="TextBox 30"/>
        <xdr:cNvSpPr txBox="1">
          <a:spLocks noChangeArrowheads="1"/>
        </xdr:cNvSpPr>
      </xdr:nvSpPr>
      <xdr:spPr>
        <a:xfrm>
          <a:off x="1171575" y="34766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6</xdr:col>
      <xdr:colOff>19050</xdr:colOff>
      <xdr:row>17</xdr:row>
      <xdr:rowOff>76200</xdr:rowOff>
    </xdr:from>
    <xdr:ext cx="142875" cy="200025"/>
    <xdr:sp>
      <xdr:nvSpPr>
        <xdr:cNvPr id="29" name="TextBox 31"/>
        <xdr:cNvSpPr txBox="1">
          <a:spLocks noChangeArrowheads="1"/>
        </xdr:cNvSpPr>
      </xdr:nvSpPr>
      <xdr:spPr>
        <a:xfrm>
          <a:off x="2305050" y="345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21</xdr:col>
      <xdr:colOff>28575</xdr:colOff>
      <xdr:row>17</xdr:row>
      <xdr:rowOff>76200</xdr:rowOff>
    </xdr:from>
    <xdr:ext cx="209550" cy="200025"/>
    <xdr:sp>
      <xdr:nvSpPr>
        <xdr:cNvPr id="30" name="TextBox 32"/>
        <xdr:cNvSpPr txBox="1">
          <a:spLocks noChangeArrowheads="1"/>
        </xdr:cNvSpPr>
      </xdr:nvSpPr>
      <xdr:spPr>
        <a:xfrm>
          <a:off x="8029575" y="34575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12</xdr:col>
      <xdr:colOff>28575</xdr:colOff>
      <xdr:row>17</xdr:row>
      <xdr:rowOff>47625</xdr:rowOff>
    </xdr:from>
    <xdr:ext cx="209550" cy="200025"/>
    <xdr:sp>
      <xdr:nvSpPr>
        <xdr:cNvPr id="31" name="TextBox 33"/>
        <xdr:cNvSpPr txBox="1">
          <a:spLocks noChangeArrowheads="1"/>
        </xdr:cNvSpPr>
      </xdr:nvSpPr>
      <xdr:spPr>
        <a:xfrm>
          <a:off x="4600575" y="34290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8</xdr:col>
      <xdr:colOff>19050</xdr:colOff>
      <xdr:row>17</xdr:row>
      <xdr:rowOff>66675</xdr:rowOff>
    </xdr:from>
    <xdr:ext cx="142875" cy="200025"/>
    <xdr:sp>
      <xdr:nvSpPr>
        <xdr:cNvPr id="32" name="TextBox 34"/>
        <xdr:cNvSpPr txBox="1">
          <a:spLocks noChangeArrowheads="1"/>
        </xdr:cNvSpPr>
      </xdr:nvSpPr>
      <xdr:spPr>
        <a:xfrm>
          <a:off x="3067050" y="3448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9</xdr:col>
      <xdr:colOff>28575</xdr:colOff>
      <xdr:row>17</xdr:row>
      <xdr:rowOff>66675</xdr:rowOff>
    </xdr:from>
    <xdr:ext cx="142875" cy="200025"/>
    <xdr:sp>
      <xdr:nvSpPr>
        <xdr:cNvPr id="33" name="TextBox 35"/>
        <xdr:cNvSpPr txBox="1">
          <a:spLocks noChangeArrowheads="1"/>
        </xdr:cNvSpPr>
      </xdr:nvSpPr>
      <xdr:spPr>
        <a:xfrm>
          <a:off x="3457575" y="3448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10</xdr:col>
      <xdr:colOff>28575</xdr:colOff>
      <xdr:row>17</xdr:row>
      <xdr:rowOff>66675</xdr:rowOff>
    </xdr:from>
    <xdr:ext cx="142875" cy="200025"/>
    <xdr:sp>
      <xdr:nvSpPr>
        <xdr:cNvPr id="34" name="TextBox 36"/>
        <xdr:cNvSpPr txBox="1">
          <a:spLocks noChangeArrowheads="1"/>
        </xdr:cNvSpPr>
      </xdr:nvSpPr>
      <xdr:spPr>
        <a:xfrm>
          <a:off x="3838575" y="3448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11</xdr:col>
      <xdr:colOff>28575</xdr:colOff>
      <xdr:row>17</xdr:row>
      <xdr:rowOff>66675</xdr:rowOff>
    </xdr:from>
    <xdr:ext cx="209550" cy="200025"/>
    <xdr:sp>
      <xdr:nvSpPr>
        <xdr:cNvPr id="35" name="TextBox 37"/>
        <xdr:cNvSpPr txBox="1">
          <a:spLocks noChangeArrowheads="1"/>
        </xdr:cNvSpPr>
      </xdr:nvSpPr>
      <xdr:spPr>
        <a:xfrm>
          <a:off x="4219575" y="34480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13</xdr:col>
      <xdr:colOff>28575</xdr:colOff>
      <xdr:row>17</xdr:row>
      <xdr:rowOff>66675</xdr:rowOff>
    </xdr:from>
    <xdr:ext cx="209550" cy="200025"/>
    <xdr:sp>
      <xdr:nvSpPr>
        <xdr:cNvPr id="36" name="TextBox 38"/>
        <xdr:cNvSpPr txBox="1">
          <a:spLocks noChangeArrowheads="1"/>
        </xdr:cNvSpPr>
      </xdr:nvSpPr>
      <xdr:spPr>
        <a:xfrm>
          <a:off x="4981575" y="34480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oneCellAnchor>
    <xdr:from>
      <xdr:col>14</xdr:col>
      <xdr:colOff>47625</xdr:colOff>
      <xdr:row>17</xdr:row>
      <xdr:rowOff>66675</xdr:rowOff>
    </xdr:from>
    <xdr:ext cx="209550" cy="200025"/>
    <xdr:sp>
      <xdr:nvSpPr>
        <xdr:cNvPr id="37" name="TextBox 39"/>
        <xdr:cNvSpPr txBox="1">
          <a:spLocks noChangeArrowheads="1"/>
        </xdr:cNvSpPr>
      </xdr:nvSpPr>
      <xdr:spPr>
        <a:xfrm>
          <a:off x="5381625" y="34480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15</xdr:col>
      <xdr:colOff>47625</xdr:colOff>
      <xdr:row>17</xdr:row>
      <xdr:rowOff>76200</xdr:rowOff>
    </xdr:from>
    <xdr:ext cx="209550" cy="200025"/>
    <xdr:sp>
      <xdr:nvSpPr>
        <xdr:cNvPr id="38" name="TextBox 40"/>
        <xdr:cNvSpPr txBox="1">
          <a:spLocks noChangeArrowheads="1"/>
        </xdr:cNvSpPr>
      </xdr:nvSpPr>
      <xdr:spPr>
        <a:xfrm>
          <a:off x="5762625" y="34575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16</xdr:col>
      <xdr:colOff>28575</xdr:colOff>
      <xdr:row>17</xdr:row>
      <xdr:rowOff>76200</xdr:rowOff>
    </xdr:from>
    <xdr:ext cx="209550" cy="200025"/>
    <xdr:sp>
      <xdr:nvSpPr>
        <xdr:cNvPr id="39" name="TextBox 41"/>
        <xdr:cNvSpPr txBox="1">
          <a:spLocks noChangeArrowheads="1"/>
        </xdr:cNvSpPr>
      </xdr:nvSpPr>
      <xdr:spPr>
        <a:xfrm>
          <a:off x="6124575" y="34575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17</xdr:col>
      <xdr:colOff>47625</xdr:colOff>
      <xdr:row>17</xdr:row>
      <xdr:rowOff>76200</xdr:rowOff>
    </xdr:from>
    <xdr:ext cx="209550" cy="200025"/>
    <xdr:sp>
      <xdr:nvSpPr>
        <xdr:cNvPr id="40" name="TextBox 42"/>
        <xdr:cNvSpPr txBox="1">
          <a:spLocks noChangeArrowheads="1"/>
        </xdr:cNvSpPr>
      </xdr:nvSpPr>
      <xdr:spPr>
        <a:xfrm>
          <a:off x="6524625" y="34575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18</xdr:col>
      <xdr:colOff>28575</xdr:colOff>
      <xdr:row>17</xdr:row>
      <xdr:rowOff>66675</xdr:rowOff>
    </xdr:from>
    <xdr:ext cx="209550" cy="200025"/>
    <xdr:sp>
      <xdr:nvSpPr>
        <xdr:cNvPr id="41" name="TextBox 43"/>
        <xdr:cNvSpPr txBox="1">
          <a:spLocks noChangeArrowheads="1"/>
        </xdr:cNvSpPr>
      </xdr:nvSpPr>
      <xdr:spPr>
        <a:xfrm>
          <a:off x="6886575" y="34480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oneCellAnchor>
  <xdr:oneCellAnchor>
    <xdr:from>
      <xdr:col>19</xdr:col>
      <xdr:colOff>28575</xdr:colOff>
      <xdr:row>17</xdr:row>
      <xdr:rowOff>76200</xdr:rowOff>
    </xdr:from>
    <xdr:ext cx="209550" cy="200025"/>
    <xdr:sp>
      <xdr:nvSpPr>
        <xdr:cNvPr id="42" name="TextBox 44"/>
        <xdr:cNvSpPr txBox="1">
          <a:spLocks noChangeArrowheads="1"/>
        </xdr:cNvSpPr>
      </xdr:nvSpPr>
      <xdr:spPr>
        <a:xfrm>
          <a:off x="7267575" y="34575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oneCellAnchor>
  <xdr:oneCellAnchor>
    <xdr:from>
      <xdr:col>20</xdr:col>
      <xdr:colOff>28575</xdr:colOff>
      <xdr:row>17</xdr:row>
      <xdr:rowOff>66675</xdr:rowOff>
    </xdr:from>
    <xdr:ext cx="209550" cy="200025"/>
    <xdr:sp>
      <xdr:nvSpPr>
        <xdr:cNvPr id="43" name="TextBox 45"/>
        <xdr:cNvSpPr txBox="1">
          <a:spLocks noChangeArrowheads="1"/>
        </xdr:cNvSpPr>
      </xdr:nvSpPr>
      <xdr:spPr>
        <a:xfrm>
          <a:off x="7648575" y="34480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</a:t>
          </a:r>
        </a:p>
      </xdr:txBody>
    </xdr:sp>
    <xdr:clientData/>
  </xdr:oneCellAnchor>
  <xdr:oneCellAnchor>
    <xdr:from>
      <xdr:col>1</xdr:col>
      <xdr:colOff>19050</xdr:colOff>
      <xdr:row>1</xdr:row>
      <xdr:rowOff>95250</xdr:rowOff>
    </xdr:from>
    <xdr:ext cx="1247775" cy="209550"/>
    <xdr:sp>
      <xdr:nvSpPr>
        <xdr:cNvPr id="44" name="TextBox 46"/>
        <xdr:cNvSpPr txBox="1">
          <a:spLocks noChangeArrowheads="1"/>
        </xdr:cNvSpPr>
      </xdr:nvSpPr>
      <xdr:spPr>
        <a:xfrm>
          <a:off x="400050" y="295275"/>
          <a:ext cx="1247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838.132.234</a:t>
          </a:r>
        </a:p>
      </xdr:txBody>
    </xdr:sp>
    <xdr:clientData/>
  </xdr:oneCellAnchor>
  <xdr:oneCellAnchor>
    <xdr:from>
      <xdr:col>1</xdr:col>
      <xdr:colOff>257175</xdr:colOff>
      <xdr:row>18</xdr:row>
      <xdr:rowOff>66675</xdr:rowOff>
    </xdr:from>
    <xdr:ext cx="57150" cy="219075"/>
    <xdr:sp>
      <xdr:nvSpPr>
        <xdr:cNvPr id="45" name="TextBox 47"/>
        <xdr:cNvSpPr txBox="1">
          <a:spLocks noChangeArrowheads="1"/>
        </xdr:cNvSpPr>
      </xdr:nvSpPr>
      <xdr:spPr>
        <a:xfrm>
          <a:off x="638175" y="36480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257175</xdr:colOff>
      <xdr:row>18</xdr:row>
      <xdr:rowOff>114300</xdr:rowOff>
    </xdr:from>
    <xdr:ext cx="219075" cy="857250"/>
    <xdr:sp>
      <xdr:nvSpPr>
        <xdr:cNvPr id="46" name="TextBox 48"/>
        <xdr:cNvSpPr txBox="1">
          <a:spLocks noChangeArrowheads="1"/>
        </xdr:cNvSpPr>
      </xdr:nvSpPr>
      <xdr:spPr>
        <a:xfrm>
          <a:off x="1019175" y="3695700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63.123.605</a:t>
          </a:r>
        </a:p>
      </xdr:txBody>
    </xdr:sp>
    <xdr:clientData/>
  </xdr:oneCellAnchor>
  <xdr:oneCellAnchor>
    <xdr:from>
      <xdr:col>3</xdr:col>
      <xdr:colOff>257175</xdr:colOff>
      <xdr:row>19</xdr:row>
      <xdr:rowOff>76200</xdr:rowOff>
    </xdr:from>
    <xdr:ext cx="219075" cy="857250"/>
    <xdr:sp>
      <xdr:nvSpPr>
        <xdr:cNvPr id="47" name="TextBox 49"/>
        <xdr:cNvSpPr txBox="1">
          <a:spLocks noChangeArrowheads="1"/>
        </xdr:cNvSpPr>
      </xdr:nvSpPr>
      <xdr:spPr>
        <a:xfrm>
          <a:off x="1400175" y="3857625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73.661.829</a:t>
          </a:r>
        </a:p>
      </xdr:txBody>
    </xdr:sp>
    <xdr:clientData/>
  </xdr:oneCellAnchor>
  <xdr:oneCellAnchor>
    <xdr:from>
      <xdr:col>4</xdr:col>
      <xdr:colOff>285750</xdr:colOff>
      <xdr:row>19</xdr:row>
      <xdr:rowOff>114300</xdr:rowOff>
    </xdr:from>
    <xdr:ext cx="219075" cy="857250"/>
    <xdr:sp>
      <xdr:nvSpPr>
        <xdr:cNvPr id="48" name="TextBox 50"/>
        <xdr:cNvSpPr txBox="1">
          <a:spLocks noChangeArrowheads="1"/>
        </xdr:cNvSpPr>
      </xdr:nvSpPr>
      <xdr:spPr>
        <a:xfrm>
          <a:off x="1809750" y="3895725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85.275.005</a:t>
          </a:r>
        </a:p>
      </xdr:txBody>
    </xdr:sp>
    <xdr:clientData/>
  </xdr:oneCellAnchor>
  <xdr:oneCellAnchor>
    <xdr:from>
      <xdr:col>5</xdr:col>
      <xdr:colOff>266700</xdr:colOff>
      <xdr:row>20</xdr:row>
      <xdr:rowOff>76200</xdr:rowOff>
    </xdr:from>
    <xdr:ext cx="219075" cy="857250"/>
    <xdr:sp>
      <xdr:nvSpPr>
        <xdr:cNvPr id="49" name="TextBox 51"/>
        <xdr:cNvSpPr txBox="1">
          <a:spLocks noChangeArrowheads="1"/>
        </xdr:cNvSpPr>
      </xdr:nvSpPr>
      <xdr:spPr>
        <a:xfrm>
          <a:off x="2171700" y="4057650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98.070.733</a:t>
          </a:r>
        </a:p>
      </xdr:txBody>
    </xdr:sp>
    <xdr:clientData/>
  </xdr:oneCellAnchor>
  <xdr:oneCellAnchor>
    <xdr:from>
      <xdr:col>6</xdr:col>
      <xdr:colOff>285750</xdr:colOff>
      <xdr:row>21</xdr:row>
      <xdr:rowOff>28575</xdr:rowOff>
    </xdr:from>
    <xdr:ext cx="219075" cy="923925"/>
    <xdr:sp>
      <xdr:nvSpPr>
        <xdr:cNvPr id="50" name="TextBox 52"/>
        <xdr:cNvSpPr txBox="1">
          <a:spLocks noChangeArrowheads="1"/>
        </xdr:cNvSpPr>
      </xdr:nvSpPr>
      <xdr:spPr>
        <a:xfrm>
          <a:off x="2571750" y="421005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112.167.375</a:t>
          </a:r>
        </a:p>
      </xdr:txBody>
    </xdr:sp>
    <xdr:clientData/>
  </xdr:oneCellAnchor>
  <xdr:oneCellAnchor>
    <xdr:from>
      <xdr:col>7</xdr:col>
      <xdr:colOff>266700</xdr:colOff>
      <xdr:row>21</xdr:row>
      <xdr:rowOff>123825</xdr:rowOff>
    </xdr:from>
    <xdr:ext cx="219075" cy="923925"/>
    <xdr:sp>
      <xdr:nvSpPr>
        <xdr:cNvPr id="51" name="TextBox 53"/>
        <xdr:cNvSpPr txBox="1">
          <a:spLocks noChangeArrowheads="1"/>
        </xdr:cNvSpPr>
      </xdr:nvSpPr>
      <xdr:spPr>
        <a:xfrm>
          <a:off x="2933700" y="430530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127.695.129</a:t>
          </a:r>
        </a:p>
      </xdr:txBody>
    </xdr:sp>
    <xdr:clientData/>
  </xdr:oneCellAnchor>
  <xdr:oneCellAnchor>
    <xdr:from>
      <xdr:col>8</xdr:col>
      <xdr:colOff>266700</xdr:colOff>
      <xdr:row>22</xdr:row>
      <xdr:rowOff>19050</xdr:rowOff>
    </xdr:from>
    <xdr:ext cx="219075" cy="923925"/>
    <xdr:sp>
      <xdr:nvSpPr>
        <xdr:cNvPr id="52" name="TextBox 54"/>
        <xdr:cNvSpPr txBox="1">
          <a:spLocks noChangeArrowheads="1"/>
        </xdr:cNvSpPr>
      </xdr:nvSpPr>
      <xdr:spPr>
        <a:xfrm>
          <a:off x="3314700" y="440055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144.797.213</a:t>
          </a:r>
        </a:p>
      </xdr:txBody>
    </xdr:sp>
    <xdr:clientData/>
  </xdr:oneCellAnchor>
  <xdr:oneCellAnchor>
    <xdr:from>
      <xdr:col>9</xdr:col>
      <xdr:colOff>285750</xdr:colOff>
      <xdr:row>22</xdr:row>
      <xdr:rowOff>95250</xdr:rowOff>
    </xdr:from>
    <xdr:ext cx="219075" cy="923925"/>
    <xdr:sp>
      <xdr:nvSpPr>
        <xdr:cNvPr id="53" name="TextBox 55"/>
        <xdr:cNvSpPr txBox="1">
          <a:spLocks noChangeArrowheads="1"/>
        </xdr:cNvSpPr>
      </xdr:nvSpPr>
      <xdr:spPr>
        <a:xfrm>
          <a:off x="3714750" y="447675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163.631.169</a:t>
          </a:r>
        </a:p>
      </xdr:txBody>
    </xdr:sp>
    <xdr:clientData/>
  </xdr:oneCellAnchor>
  <xdr:oneCellAnchor>
    <xdr:from>
      <xdr:col>10</xdr:col>
      <xdr:colOff>285750</xdr:colOff>
      <xdr:row>23</xdr:row>
      <xdr:rowOff>19050</xdr:rowOff>
    </xdr:from>
    <xdr:ext cx="219075" cy="923925"/>
    <xdr:sp>
      <xdr:nvSpPr>
        <xdr:cNvPr id="54" name="TextBox 56"/>
        <xdr:cNvSpPr txBox="1">
          <a:spLocks noChangeArrowheads="1"/>
        </xdr:cNvSpPr>
      </xdr:nvSpPr>
      <xdr:spPr>
        <a:xfrm>
          <a:off x="4095750" y="4600575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184.370.292</a:t>
          </a:r>
        </a:p>
      </xdr:txBody>
    </xdr:sp>
    <xdr:clientData/>
  </xdr:oneCellAnchor>
  <xdr:oneCellAnchor>
    <xdr:from>
      <xdr:col>11</xdr:col>
      <xdr:colOff>266700</xdr:colOff>
      <xdr:row>23</xdr:row>
      <xdr:rowOff>95250</xdr:rowOff>
    </xdr:from>
    <xdr:ext cx="219075" cy="923925"/>
    <xdr:sp>
      <xdr:nvSpPr>
        <xdr:cNvPr id="55" name="TextBox 57"/>
        <xdr:cNvSpPr txBox="1">
          <a:spLocks noChangeArrowheads="1"/>
        </xdr:cNvSpPr>
      </xdr:nvSpPr>
      <xdr:spPr>
        <a:xfrm>
          <a:off x="4457700" y="4676775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207.205.207</a:t>
          </a:r>
        </a:p>
      </xdr:txBody>
    </xdr:sp>
    <xdr:clientData/>
  </xdr:oneCellAnchor>
  <xdr:oneCellAnchor>
    <xdr:from>
      <xdr:col>12</xdr:col>
      <xdr:colOff>266700</xdr:colOff>
      <xdr:row>24</xdr:row>
      <xdr:rowOff>28575</xdr:rowOff>
    </xdr:from>
    <xdr:ext cx="219075" cy="923925"/>
    <xdr:sp>
      <xdr:nvSpPr>
        <xdr:cNvPr id="56" name="TextBox 58"/>
        <xdr:cNvSpPr txBox="1">
          <a:spLocks noChangeArrowheads="1"/>
        </xdr:cNvSpPr>
      </xdr:nvSpPr>
      <xdr:spPr>
        <a:xfrm>
          <a:off x="4838700" y="481965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232.345.602</a:t>
          </a:r>
        </a:p>
      </xdr:txBody>
    </xdr:sp>
    <xdr:clientData/>
  </xdr:oneCellAnchor>
  <xdr:oneCellAnchor>
    <xdr:from>
      <xdr:col>13</xdr:col>
      <xdr:colOff>266700</xdr:colOff>
      <xdr:row>24</xdr:row>
      <xdr:rowOff>95250</xdr:rowOff>
    </xdr:from>
    <xdr:ext cx="219075" cy="923925"/>
    <xdr:sp>
      <xdr:nvSpPr>
        <xdr:cNvPr id="57" name="TextBox 59"/>
        <xdr:cNvSpPr txBox="1">
          <a:spLocks noChangeArrowheads="1"/>
        </xdr:cNvSpPr>
      </xdr:nvSpPr>
      <xdr:spPr>
        <a:xfrm>
          <a:off x="5219700" y="4886325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260.022.137</a:t>
          </a:r>
        </a:p>
      </xdr:txBody>
    </xdr:sp>
    <xdr:clientData/>
  </xdr:oneCellAnchor>
  <xdr:oneCellAnchor>
    <xdr:from>
      <xdr:col>14</xdr:col>
      <xdr:colOff>304800</xdr:colOff>
      <xdr:row>25</xdr:row>
      <xdr:rowOff>19050</xdr:rowOff>
    </xdr:from>
    <xdr:ext cx="219075" cy="923925"/>
    <xdr:sp>
      <xdr:nvSpPr>
        <xdr:cNvPr id="58" name="TextBox 60"/>
        <xdr:cNvSpPr txBox="1">
          <a:spLocks noChangeArrowheads="1"/>
        </xdr:cNvSpPr>
      </xdr:nvSpPr>
      <xdr:spPr>
        <a:xfrm>
          <a:off x="5638800" y="501015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290.488.535</a:t>
          </a:r>
        </a:p>
      </xdr:txBody>
    </xdr:sp>
    <xdr:clientData/>
  </xdr:oneCellAnchor>
  <xdr:oneCellAnchor>
    <xdr:from>
      <xdr:col>15</xdr:col>
      <xdr:colOff>285750</xdr:colOff>
      <xdr:row>25</xdr:row>
      <xdr:rowOff>95250</xdr:rowOff>
    </xdr:from>
    <xdr:ext cx="219075" cy="923925"/>
    <xdr:sp>
      <xdr:nvSpPr>
        <xdr:cNvPr id="59" name="TextBox 61"/>
        <xdr:cNvSpPr txBox="1">
          <a:spLocks noChangeArrowheads="1"/>
        </xdr:cNvSpPr>
      </xdr:nvSpPr>
      <xdr:spPr>
        <a:xfrm>
          <a:off x="6000750" y="508635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324.023.894</a:t>
          </a:r>
        </a:p>
      </xdr:txBody>
    </xdr:sp>
    <xdr:clientData/>
  </xdr:oneCellAnchor>
  <xdr:oneCellAnchor>
    <xdr:from>
      <xdr:col>16</xdr:col>
      <xdr:colOff>266700</xdr:colOff>
      <xdr:row>26</xdr:row>
      <xdr:rowOff>19050</xdr:rowOff>
    </xdr:from>
    <xdr:ext cx="219075" cy="923925"/>
    <xdr:sp>
      <xdr:nvSpPr>
        <xdr:cNvPr id="60" name="TextBox 62"/>
        <xdr:cNvSpPr txBox="1">
          <a:spLocks noChangeArrowheads="1"/>
        </xdr:cNvSpPr>
      </xdr:nvSpPr>
      <xdr:spPr>
        <a:xfrm>
          <a:off x="6362700" y="5210175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360.935.221</a:t>
          </a:r>
        </a:p>
      </xdr:txBody>
    </xdr:sp>
    <xdr:clientData/>
  </xdr:oneCellAnchor>
  <xdr:oneCellAnchor>
    <xdr:from>
      <xdr:col>17</xdr:col>
      <xdr:colOff>266700</xdr:colOff>
      <xdr:row>26</xdr:row>
      <xdr:rowOff>114300</xdr:rowOff>
    </xdr:from>
    <xdr:ext cx="219075" cy="923925"/>
    <xdr:sp>
      <xdr:nvSpPr>
        <xdr:cNvPr id="61" name="TextBox 63"/>
        <xdr:cNvSpPr txBox="1">
          <a:spLocks noChangeArrowheads="1"/>
        </xdr:cNvSpPr>
      </xdr:nvSpPr>
      <xdr:spPr>
        <a:xfrm>
          <a:off x="6743700" y="5305425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401.560.226</a:t>
          </a:r>
        </a:p>
      </xdr:txBody>
    </xdr:sp>
    <xdr:clientData/>
  </xdr:oneCellAnchor>
  <xdr:oneCellAnchor>
    <xdr:from>
      <xdr:col>18</xdr:col>
      <xdr:colOff>266700</xdr:colOff>
      <xdr:row>27</xdr:row>
      <xdr:rowOff>19050</xdr:rowOff>
    </xdr:from>
    <xdr:ext cx="219075" cy="923925"/>
    <xdr:sp>
      <xdr:nvSpPr>
        <xdr:cNvPr id="62" name="TextBox 64"/>
        <xdr:cNvSpPr txBox="1">
          <a:spLocks noChangeArrowheads="1"/>
        </xdr:cNvSpPr>
      </xdr:nvSpPr>
      <xdr:spPr>
        <a:xfrm>
          <a:off x="7124700" y="541020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446.270.388</a:t>
          </a:r>
        </a:p>
      </xdr:txBody>
    </xdr:sp>
    <xdr:clientData/>
  </xdr:oneCellAnchor>
  <xdr:oneCellAnchor>
    <xdr:from>
      <xdr:col>19</xdr:col>
      <xdr:colOff>266700</xdr:colOff>
      <xdr:row>27</xdr:row>
      <xdr:rowOff>114300</xdr:rowOff>
    </xdr:from>
    <xdr:ext cx="219075" cy="923925"/>
    <xdr:sp>
      <xdr:nvSpPr>
        <xdr:cNvPr id="63" name="TextBox 65"/>
        <xdr:cNvSpPr txBox="1">
          <a:spLocks noChangeArrowheads="1"/>
        </xdr:cNvSpPr>
      </xdr:nvSpPr>
      <xdr:spPr>
        <a:xfrm>
          <a:off x="7505700" y="550545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495.474.338</a:t>
          </a:r>
        </a:p>
      </xdr:txBody>
    </xdr:sp>
    <xdr:clientData/>
  </xdr:oneCellAnchor>
  <xdr:oneCellAnchor>
    <xdr:from>
      <xdr:col>21</xdr:col>
      <xdr:colOff>114300</xdr:colOff>
      <xdr:row>27</xdr:row>
      <xdr:rowOff>19050</xdr:rowOff>
    </xdr:from>
    <xdr:ext cx="219075" cy="923925"/>
    <xdr:sp>
      <xdr:nvSpPr>
        <xdr:cNvPr id="64" name="TextBox 66"/>
        <xdr:cNvSpPr txBox="1">
          <a:spLocks noChangeArrowheads="1"/>
        </xdr:cNvSpPr>
      </xdr:nvSpPr>
      <xdr:spPr>
        <a:xfrm>
          <a:off x="8115300" y="541020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549.621.567</a:t>
          </a:r>
        </a:p>
      </xdr:txBody>
    </xdr:sp>
    <xdr:clientData/>
  </xdr:oneCellAnchor>
  <xdr:oneCellAnchor>
    <xdr:from>
      <xdr:col>10</xdr:col>
      <xdr:colOff>209550</xdr:colOff>
      <xdr:row>8</xdr:row>
      <xdr:rowOff>114300</xdr:rowOff>
    </xdr:from>
    <xdr:ext cx="76200" cy="200025"/>
    <xdr:sp>
      <xdr:nvSpPr>
        <xdr:cNvPr id="65" name="TextBox 67"/>
        <xdr:cNvSpPr txBox="1">
          <a:spLocks noChangeArrowheads="1"/>
        </xdr:cNvSpPr>
      </xdr:nvSpPr>
      <xdr:spPr>
        <a:xfrm>
          <a:off x="4019550" y="169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266700</xdr:colOff>
      <xdr:row>34</xdr:row>
      <xdr:rowOff>19050</xdr:rowOff>
    </xdr:from>
    <xdr:ext cx="1047750" cy="200025"/>
    <xdr:sp>
      <xdr:nvSpPr>
        <xdr:cNvPr id="66" name="TextBox 68"/>
        <xdr:cNvSpPr txBox="1">
          <a:spLocks noChangeArrowheads="1"/>
        </xdr:cNvSpPr>
      </xdr:nvSpPr>
      <xdr:spPr>
        <a:xfrm>
          <a:off x="7505700" y="6810375"/>
          <a:ext cx="1047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1.856.250.000</a:t>
          </a:r>
        </a:p>
      </xdr:txBody>
    </xdr:sp>
    <xdr:clientData/>
  </xdr:oneCellAnchor>
  <xdr:twoCellAnchor>
    <xdr:from>
      <xdr:col>23</xdr:col>
      <xdr:colOff>0</xdr:colOff>
      <xdr:row>17</xdr:row>
      <xdr:rowOff>9525</xdr:rowOff>
    </xdr:from>
    <xdr:to>
      <xdr:col>43</xdr:col>
      <xdr:colOff>0</xdr:colOff>
      <xdr:row>17</xdr:row>
      <xdr:rowOff>9525</xdr:rowOff>
    </xdr:to>
    <xdr:sp>
      <xdr:nvSpPr>
        <xdr:cNvPr id="67" name="Line 69"/>
        <xdr:cNvSpPr>
          <a:spLocks/>
        </xdr:cNvSpPr>
      </xdr:nvSpPr>
      <xdr:spPr>
        <a:xfrm>
          <a:off x="9220200" y="3390900"/>
          <a:ext cx="762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9525</xdr:rowOff>
    </xdr:from>
    <xdr:to>
      <xdr:col>23</xdr:col>
      <xdr:colOff>9525</xdr:colOff>
      <xdr:row>17</xdr:row>
      <xdr:rowOff>9525</xdr:rowOff>
    </xdr:to>
    <xdr:sp>
      <xdr:nvSpPr>
        <xdr:cNvPr id="68" name="Line 70"/>
        <xdr:cNvSpPr>
          <a:spLocks/>
        </xdr:cNvSpPr>
      </xdr:nvSpPr>
      <xdr:spPr>
        <a:xfrm flipH="1" flipV="1">
          <a:off x="9220200" y="581025"/>
          <a:ext cx="9525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9525</xdr:rowOff>
    </xdr:from>
    <xdr:to>
      <xdr:col>24</xdr:col>
      <xdr:colOff>0</xdr:colOff>
      <xdr:row>17</xdr:row>
      <xdr:rowOff>142875</xdr:rowOff>
    </xdr:to>
    <xdr:sp>
      <xdr:nvSpPr>
        <xdr:cNvPr id="69" name="Line 71"/>
        <xdr:cNvSpPr>
          <a:spLocks/>
        </xdr:cNvSpPr>
      </xdr:nvSpPr>
      <xdr:spPr>
        <a:xfrm>
          <a:off x="9601200" y="33909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371475</xdr:colOff>
      <xdr:row>17</xdr:row>
      <xdr:rowOff>9525</xdr:rowOff>
    </xdr:from>
    <xdr:to>
      <xdr:col>25</xdr:col>
      <xdr:colOff>0</xdr:colOff>
      <xdr:row>18</xdr:row>
      <xdr:rowOff>76200</xdr:rowOff>
    </xdr:to>
    <xdr:sp>
      <xdr:nvSpPr>
        <xdr:cNvPr id="70" name="Line 72"/>
        <xdr:cNvSpPr>
          <a:spLocks/>
        </xdr:cNvSpPr>
      </xdr:nvSpPr>
      <xdr:spPr>
        <a:xfrm>
          <a:off x="9972675" y="3390900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19050</xdr:rowOff>
    </xdr:from>
    <xdr:to>
      <xdr:col>26</xdr:col>
      <xdr:colOff>9525</xdr:colOff>
      <xdr:row>19</xdr:row>
      <xdr:rowOff>28575</xdr:rowOff>
    </xdr:to>
    <xdr:sp>
      <xdr:nvSpPr>
        <xdr:cNvPr id="71" name="Line 73"/>
        <xdr:cNvSpPr>
          <a:spLocks/>
        </xdr:cNvSpPr>
      </xdr:nvSpPr>
      <xdr:spPr>
        <a:xfrm flipH="1">
          <a:off x="10363200" y="3400425"/>
          <a:ext cx="95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17</xdr:row>
      <xdr:rowOff>9525</xdr:rowOff>
    </xdr:from>
    <xdr:to>
      <xdr:col>27</xdr:col>
      <xdr:colOff>9525</xdr:colOff>
      <xdr:row>19</xdr:row>
      <xdr:rowOff>85725</xdr:rowOff>
    </xdr:to>
    <xdr:sp>
      <xdr:nvSpPr>
        <xdr:cNvPr id="72" name="Line 74"/>
        <xdr:cNvSpPr>
          <a:spLocks/>
        </xdr:cNvSpPr>
      </xdr:nvSpPr>
      <xdr:spPr>
        <a:xfrm>
          <a:off x="10753725" y="33909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19050</xdr:rowOff>
    </xdr:from>
    <xdr:to>
      <xdr:col>28</xdr:col>
      <xdr:colOff>0</xdr:colOff>
      <xdr:row>20</xdr:row>
      <xdr:rowOff>57150</xdr:rowOff>
    </xdr:to>
    <xdr:sp>
      <xdr:nvSpPr>
        <xdr:cNvPr id="73" name="Line 75"/>
        <xdr:cNvSpPr>
          <a:spLocks/>
        </xdr:cNvSpPr>
      </xdr:nvSpPr>
      <xdr:spPr>
        <a:xfrm>
          <a:off x="11125200" y="34004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17</xdr:row>
      <xdr:rowOff>9525</xdr:rowOff>
    </xdr:from>
    <xdr:to>
      <xdr:col>29</xdr:col>
      <xdr:colOff>9525</xdr:colOff>
      <xdr:row>21</xdr:row>
      <xdr:rowOff>28575</xdr:rowOff>
    </xdr:to>
    <xdr:sp>
      <xdr:nvSpPr>
        <xdr:cNvPr id="74" name="Line 76"/>
        <xdr:cNvSpPr>
          <a:spLocks/>
        </xdr:cNvSpPr>
      </xdr:nvSpPr>
      <xdr:spPr>
        <a:xfrm>
          <a:off x="11515725" y="33909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9525</xdr:rowOff>
    </xdr:from>
    <xdr:to>
      <xdr:col>30</xdr:col>
      <xdr:colOff>0</xdr:colOff>
      <xdr:row>21</xdr:row>
      <xdr:rowOff>95250</xdr:rowOff>
    </xdr:to>
    <xdr:sp>
      <xdr:nvSpPr>
        <xdr:cNvPr id="75" name="Line 77"/>
        <xdr:cNvSpPr>
          <a:spLocks/>
        </xdr:cNvSpPr>
      </xdr:nvSpPr>
      <xdr:spPr>
        <a:xfrm>
          <a:off x="11887200" y="339090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9525</xdr:rowOff>
    </xdr:from>
    <xdr:to>
      <xdr:col>31</xdr:col>
      <xdr:colOff>0</xdr:colOff>
      <xdr:row>22</xdr:row>
      <xdr:rowOff>0</xdr:rowOff>
    </xdr:to>
    <xdr:sp>
      <xdr:nvSpPr>
        <xdr:cNvPr id="76" name="Line 78"/>
        <xdr:cNvSpPr>
          <a:spLocks/>
        </xdr:cNvSpPr>
      </xdr:nvSpPr>
      <xdr:spPr>
        <a:xfrm>
          <a:off x="12268200" y="33909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9525</xdr:rowOff>
    </xdr:from>
    <xdr:to>
      <xdr:col>32</xdr:col>
      <xdr:colOff>0</xdr:colOff>
      <xdr:row>22</xdr:row>
      <xdr:rowOff>76200</xdr:rowOff>
    </xdr:to>
    <xdr:sp>
      <xdr:nvSpPr>
        <xdr:cNvPr id="77" name="Line 79"/>
        <xdr:cNvSpPr>
          <a:spLocks/>
        </xdr:cNvSpPr>
      </xdr:nvSpPr>
      <xdr:spPr>
        <a:xfrm>
          <a:off x="12649200" y="33909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17</xdr:row>
      <xdr:rowOff>19050</xdr:rowOff>
    </xdr:from>
    <xdr:to>
      <xdr:col>33</xdr:col>
      <xdr:colOff>0</xdr:colOff>
      <xdr:row>23</xdr:row>
      <xdr:rowOff>9525</xdr:rowOff>
    </xdr:to>
    <xdr:sp>
      <xdr:nvSpPr>
        <xdr:cNvPr id="78" name="Line 80"/>
        <xdr:cNvSpPr>
          <a:spLocks/>
        </xdr:cNvSpPr>
      </xdr:nvSpPr>
      <xdr:spPr>
        <a:xfrm>
          <a:off x="13030200" y="340042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17</xdr:row>
      <xdr:rowOff>9525</xdr:rowOff>
    </xdr:from>
    <xdr:to>
      <xdr:col>34</xdr:col>
      <xdr:colOff>9525</xdr:colOff>
      <xdr:row>23</xdr:row>
      <xdr:rowOff>85725</xdr:rowOff>
    </xdr:to>
    <xdr:sp>
      <xdr:nvSpPr>
        <xdr:cNvPr id="79" name="Line 81"/>
        <xdr:cNvSpPr>
          <a:spLocks/>
        </xdr:cNvSpPr>
      </xdr:nvSpPr>
      <xdr:spPr>
        <a:xfrm>
          <a:off x="13411200" y="33909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9525</xdr:rowOff>
    </xdr:from>
    <xdr:to>
      <xdr:col>35</xdr:col>
      <xdr:colOff>0</xdr:colOff>
      <xdr:row>23</xdr:row>
      <xdr:rowOff>152400</xdr:rowOff>
    </xdr:to>
    <xdr:sp>
      <xdr:nvSpPr>
        <xdr:cNvPr id="80" name="Line 82"/>
        <xdr:cNvSpPr>
          <a:spLocks/>
        </xdr:cNvSpPr>
      </xdr:nvSpPr>
      <xdr:spPr>
        <a:xfrm>
          <a:off x="13792200" y="3390900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17</xdr:row>
      <xdr:rowOff>19050</xdr:rowOff>
    </xdr:from>
    <xdr:to>
      <xdr:col>36</xdr:col>
      <xdr:colOff>0</xdr:colOff>
      <xdr:row>24</xdr:row>
      <xdr:rowOff>66675</xdr:rowOff>
    </xdr:to>
    <xdr:sp>
      <xdr:nvSpPr>
        <xdr:cNvPr id="81" name="Line 83"/>
        <xdr:cNvSpPr>
          <a:spLocks/>
        </xdr:cNvSpPr>
      </xdr:nvSpPr>
      <xdr:spPr>
        <a:xfrm>
          <a:off x="14173200" y="340042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17</xdr:row>
      <xdr:rowOff>9525</xdr:rowOff>
    </xdr:from>
    <xdr:to>
      <xdr:col>37</xdr:col>
      <xdr:colOff>0</xdr:colOff>
      <xdr:row>25</xdr:row>
      <xdr:rowOff>9525</xdr:rowOff>
    </xdr:to>
    <xdr:sp>
      <xdr:nvSpPr>
        <xdr:cNvPr id="82" name="Line 84"/>
        <xdr:cNvSpPr>
          <a:spLocks/>
        </xdr:cNvSpPr>
      </xdr:nvSpPr>
      <xdr:spPr>
        <a:xfrm>
          <a:off x="14554200" y="339090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17</xdr:row>
      <xdr:rowOff>9525</xdr:rowOff>
    </xdr:from>
    <xdr:to>
      <xdr:col>38</xdr:col>
      <xdr:colOff>0</xdr:colOff>
      <xdr:row>25</xdr:row>
      <xdr:rowOff>85725</xdr:rowOff>
    </xdr:to>
    <xdr:sp>
      <xdr:nvSpPr>
        <xdr:cNvPr id="83" name="Line 85"/>
        <xdr:cNvSpPr>
          <a:spLocks/>
        </xdr:cNvSpPr>
      </xdr:nvSpPr>
      <xdr:spPr>
        <a:xfrm>
          <a:off x="14935200" y="3390900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17</xdr:row>
      <xdr:rowOff>9525</xdr:rowOff>
    </xdr:from>
    <xdr:to>
      <xdr:col>39</xdr:col>
      <xdr:colOff>0</xdr:colOff>
      <xdr:row>26</xdr:row>
      <xdr:rowOff>0</xdr:rowOff>
    </xdr:to>
    <xdr:sp>
      <xdr:nvSpPr>
        <xdr:cNvPr id="84" name="Line 86"/>
        <xdr:cNvSpPr>
          <a:spLocks/>
        </xdr:cNvSpPr>
      </xdr:nvSpPr>
      <xdr:spPr>
        <a:xfrm>
          <a:off x="15316200" y="3390900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17</xdr:row>
      <xdr:rowOff>9525</xdr:rowOff>
    </xdr:from>
    <xdr:to>
      <xdr:col>40</xdr:col>
      <xdr:colOff>0</xdr:colOff>
      <xdr:row>26</xdr:row>
      <xdr:rowOff>85725</xdr:rowOff>
    </xdr:to>
    <xdr:sp>
      <xdr:nvSpPr>
        <xdr:cNvPr id="85" name="Line 87"/>
        <xdr:cNvSpPr>
          <a:spLocks/>
        </xdr:cNvSpPr>
      </xdr:nvSpPr>
      <xdr:spPr>
        <a:xfrm>
          <a:off x="15697200" y="3390900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17</xdr:row>
      <xdr:rowOff>9525</xdr:rowOff>
    </xdr:from>
    <xdr:to>
      <xdr:col>41</xdr:col>
      <xdr:colOff>0</xdr:colOff>
      <xdr:row>26</xdr:row>
      <xdr:rowOff>152400</xdr:rowOff>
    </xdr:to>
    <xdr:sp>
      <xdr:nvSpPr>
        <xdr:cNvPr id="86" name="Line 88"/>
        <xdr:cNvSpPr>
          <a:spLocks/>
        </xdr:cNvSpPr>
      </xdr:nvSpPr>
      <xdr:spPr>
        <a:xfrm>
          <a:off x="16078200" y="33909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17</xdr:row>
      <xdr:rowOff>9525</xdr:rowOff>
    </xdr:from>
    <xdr:to>
      <xdr:col>42</xdr:col>
      <xdr:colOff>0</xdr:colOff>
      <xdr:row>27</xdr:row>
      <xdr:rowOff>76200</xdr:rowOff>
    </xdr:to>
    <xdr:sp>
      <xdr:nvSpPr>
        <xdr:cNvPr id="87" name="Line 89"/>
        <xdr:cNvSpPr>
          <a:spLocks/>
        </xdr:cNvSpPr>
      </xdr:nvSpPr>
      <xdr:spPr>
        <a:xfrm>
          <a:off x="16459200" y="3390900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17</xdr:row>
      <xdr:rowOff>0</xdr:rowOff>
    </xdr:from>
    <xdr:to>
      <xdr:col>43</xdr:col>
      <xdr:colOff>0</xdr:colOff>
      <xdr:row>28</xdr:row>
      <xdr:rowOff>9525</xdr:rowOff>
    </xdr:to>
    <xdr:sp>
      <xdr:nvSpPr>
        <xdr:cNvPr id="88" name="Line 90"/>
        <xdr:cNvSpPr>
          <a:spLocks/>
        </xdr:cNvSpPr>
      </xdr:nvSpPr>
      <xdr:spPr>
        <a:xfrm>
          <a:off x="16840200" y="3381375"/>
          <a:ext cx="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17</xdr:row>
      <xdr:rowOff>9525</xdr:rowOff>
    </xdr:from>
    <xdr:to>
      <xdr:col>43</xdr:col>
      <xdr:colOff>0</xdr:colOff>
      <xdr:row>33</xdr:row>
      <xdr:rowOff>152400</xdr:rowOff>
    </xdr:to>
    <xdr:sp>
      <xdr:nvSpPr>
        <xdr:cNvPr id="89" name="Line 91"/>
        <xdr:cNvSpPr>
          <a:spLocks/>
        </xdr:cNvSpPr>
      </xdr:nvSpPr>
      <xdr:spPr>
        <a:xfrm>
          <a:off x="16840200" y="33909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28575</xdr:colOff>
      <xdr:row>17</xdr:row>
      <xdr:rowOff>66675</xdr:rowOff>
    </xdr:from>
    <xdr:ext cx="142875" cy="200025"/>
    <xdr:sp>
      <xdr:nvSpPr>
        <xdr:cNvPr id="90" name="TextBox 92"/>
        <xdr:cNvSpPr txBox="1">
          <a:spLocks noChangeArrowheads="1"/>
        </xdr:cNvSpPr>
      </xdr:nvSpPr>
      <xdr:spPr>
        <a:xfrm>
          <a:off x="9248775" y="3448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24</xdr:col>
      <xdr:colOff>47625</xdr:colOff>
      <xdr:row>17</xdr:row>
      <xdr:rowOff>76200</xdr:rowOff>
    </xdr:from>
    <xdr:ext cx="142875" cy="200025"/>
    <xdr:sp>
      <xdr:nvSpPr>
        <xdr:cNvPr id="91" name="TextBox 93"/>
        <xdr:cNvSpPr txBox="1">
          <a:spLocks noChangeArrowheads="1"/>
        </xdr:cNvSpPr>
      </xdr:nvSpPr>
      <xdr:spPr>
        <a:xfrm>
          <a:off x="9648825" y="345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26</xdr:col>
      <xdr:colOff>28575</xdr:colOff>
      <xdr:row>17</xdr:row>
      <xdr:rowOff>76200</xdr:rowOff>
    </xdr:from>
    <xdr:ext cx="142875" cy="200025"/>
    <xdr:sp>
      <xdr:nvSpPr>
        <xdr:cNvPr id="92" name="TextBox 94"/>
        <xdr:cNvSpPr txBox="1">
          <a:spLocks noChangeArrowheads="1"/>
        </xdr:cNvSpPr>
      </xdr:nvSpPr>
      <xdr:spPr>
        <a:xfrm>
          <a:off x="10391775" y="345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29</xdr:col>
      <xdr:colOff>28575</xdr:colOff>
      <xdr:row>17</xdr:row>
      <xdr:rowOff>76200</xdr:rowOff>
    </xdr:from>
    <xdr:ext cx="142875" cy="200025"/>
    <xdr:sp>
      <xdr:nvSpPr>
        <xdr:cNvPr id="93" name="TextBox 95"/>
        <xdr:cNvSpPr txBox="1">
          <a:spLocks noChangeArrowheads="1"/>
        </xdr:cNvSpPr>
      </xdr:nvSpPr>
      <xdr:spPr>
        <a:xfrm>
          <a:off x="11534775" y="345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27</xdr:col>
      <xdr:colOff>28575</xdr:colOff>
      <xdr:row>17</xdr:row>
      <xdr:rowOff>66675</xdr:rowOff>
    </xdr:from>
    <xdr:ext cx="142875" cy="200025"/>
    <xdr:sp>
      <xdr:nvSpPr>
        <xdr:cNvPr id="94" name="TextBox 96"/>
        <xdr:cNvSpPr txBox="1">
          <a:spLocks noChangeArrowheads="1"/>
        </xdr:cNvSpPr>
      </xdr:nvSpPr>
      <xdr:spPr>
        <a:xfrm>
          <a:off x="10772775" y="3448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25</xdr:col>
      <xdr:colOff>28575</xdr:colOff>
      <xdr:row>17</xdr:row>
      <xdr:rowOff>95250</xdr:rowOff>
    </xdr:from>
    <xdr:ext cx="142875" cy="200025"/>
    <xdr:sp>
      <xdr:nvSpPr>
        <xdr:cNvPr id="95" name="TextBox 97"/>
        <xdr:cNvSpPr txBox="1">
          <a:spLocks noChangeArrowheads="1"/>
        </xdr:cNvSpPr>
      </xdr:nvSpPr>
      <xdr:spPr>
        <a:xfrm>
          <a:off x="10010775" y="34766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28</xdr:col>
      <xdr:colOff>19050</xdr:colOff>
      <xdr:row>17</xdr:row>
      <xdr:rowOff>76200</xdr:rowOff>
    </xdr:from>
    <xdr:ext cx="142875" cy="200025"/>
    <xdr:sp>
      <xdr:nvSpPr>
        <xdr:cNvPr id="96" name="TextBox 98"/>
        <xdr:cNvSpPr txBox="1">
          <a:spLocks noChangeArrowheads="1"/>
        </xdr:cNvSpPr>
      </xdr:nvSpPr>
      <xdr:spPr>
        <a:xfrm>
          <a:off x="11144250" y="345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43</xdr:col>
      <xdr:colOff>28575</xdr:colOff>
      <xdr:row>17</xdr:row>
      <xdr:rowOff>76200</xdr:rowOff>
    </xdr:from>
    <xdr:ext cx="209550" cy="200025"/>
    <xdr:sp>
      <xdr:nvSpPr>
        <xdr:cNvPr id="97" name="TextBox 99"/>
        <xdr:cNvSpPr txBox="1">
          <a:spLocks noChangeArrowheads="1"/>
        </xdr:cNvSpPr>
      </xdr:nvSpPr>
      <xdr:spPr>
        <a:xfrm>
          <a:off x="16868775" y="34575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34</xdr:col>
      <xdr:colOff>28575</xdr:colOff>
      <xdr:row>17</xdr:row>
      <xdr:rowOff>47625</xdr:rowOff>
    </xdr:from>
    <xdr:ext cx="209550" cy="200025"/>
    <xdr:sp>
      <xdr:nvSpPr>
        <xdr:cNvPr id="98" name="TextBox 100"/>
        <xdr:cNvSpPr txBox="1">
          <a:spLocks noChangeArrowheads="1"/>
        </xdr:cNvSpPr>
      </xdr:nvSpPr>
      <xdr:spPr>
        <a:xfrm>
          <a:off x="13439775" y="34290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30</xdr:col>
      <xdr:colOff>19050</xdr:colOff>
      <xdr:row>17</xdr:row>
      <xdr:rowOff>66675</xdr:rowOff>
    </xdr:from>
    <xdr:ext cx="142875" cy="200025"/>
    <xdr:sp>
      <xdr:nvSpPr>
        <xdr:cNvPr id="99" name="TextBox 101"/>
        <xdr:cNvSpPr txBox="1">
          <a:spLocks noChangeArrowheads="1"/>
        </xdr:cNvSpPr>
      </xdr:nvSpPr>
      <xdr:spPr>
        <a:xfrm>
          <a:off x="11906250" y="3448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31</xdr:col>
      <xdr:colOff>28575</xdr:colOff>
      <xdr:row>17</xdr:row>
      <xdr:rowOff>66675</xdr:rowOff>
    </xdr:from>
    <xdr:ext cx="142875" cy="200025"/>
    <xdr:sp>
      <xdr:nvSpPr>
        <xdr:cNvPr id="100" name="TextBox 102"/>
        <xdr:cNvSpPr txBox="1">
          <a:spLocks noChangeArrowheads="1"/>
        </xdr:cNvSpPr>
      </xdr:nvSpPr>
      <xdr:spPr>
        <a:xfrm>
          <a:off x="12296775" y="3448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32</xdr:col>
      <xdr:colOff>28575</xdr:colOff>
      <xdr:row>17</xdr:row>
      <xdr:rowOff>66675</xdr:rowOff>
    </xdr:from>
    <xdr:ext cx="142875" cy="200025"/>
    <xdr:sp>
      <xdr:nvSpPr>
        <xdr:cNvPr id="101" name="TextBox 103"/>
        <xdr:cNvSpPr txBox="1">
          <a:spLocks noChangeArrowheads="1"/>
        </xdr:cNvSpPr>
      </xdr:nvSpPr>
      <xdr:spPr>
        <a:xfrm>
          <a:off x="12677775" y="3448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33</xdr:col>
      <xdr:colOff>28575</xdr:colOff>
      <xdr:row>17</xdr:row>
      <xdr:rowOff>66675</xdr:rowOff>
    </xdr:from>
    <xdr:ext cx="209550" cy="200025"/>
    <xdr:sp>
      <xdr:nvSpPr>
        <xdr:cNvPr id="102" name="TextBox 104"/>
        <xdr:cNvSpPr txBox="1">
          <a:spLocks noChangeArrowheads="1"/>
        </xdr:cNvSpPr>
      </xdr:nvSpPr>
      <xdr:spPr>
        <a:xfrm>
          <a:off x="13058775" y="34480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35</xdr:col>
      <xdr:colOff>28575</xdr:colOff>
      <xdr:row>17</xdr:row>
      <xdr:rowOff>66675</xdr:rowOff>
    </xdr:from>
    <xdr:ext cx="209550" cy="200025"/>
    <xdr:sp>
      <xdr:nvSpPr>
        <xdr:cNvPr id="103" name="TextBox 105"/>
        <xdr:cNvSpPr txBox="1">
          <a:spLocks noChangeArrowheads="1"/>
        </xdr:cNvSpPr>
      </xdr:nvSpPr>
      <xdr:spPr>
        <a:xfrm>
          <a:off x="13820775" y="34480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oneCellAnchor>
    <xdr:from>
      <xdr:col>36</xdr:col>
      <xdr:colOff>47625</xdr:colOff>
      <xdr:row>17</xdr:row>
      <xdr:rowOff>66675</xdr:rowOff>
    </xdr:from>
    <xdr:ext cx="209550" cy="200025"/>
    <xdr:sp>
      <xdr:nvSpPr>
        <xdr:cNvPr id="104" name="TextBox 106"/>
        <xdr:cNvSpPr txBox="1">
          <a:spLocks noChangeArrowheads="1"/>
        </xdr:cNvSpPr>
      </xdr:nvSpPr>
      <xdr:spPr>
        <a:xfrm>
          <a:off x="14220825" y="34480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37</xdr:col>
      <xdr:colOff>47625</xdr:colOff>
      <xdr:row>17</xdr:row>
      <xdr:rowOff>76200</xdr:rowOff>
    </xdr:from>
    <xdr:ext cx="209550" cy="200025"/>
    <xdr:sp>
      <xdr:nvSpPr>
        <xdr:cNvPr id="105" name="TextBox 107"/>
        <xdr:cNvSpPr txBox="1">
          <a:spLocks noChangeArrowheads="1"/>
        </xdr:cNvSpPr>
      </xdr:nvSpPr>
      <xdr:spPr>
        <a:xfrm>
          <a:off x="14601825" y="34575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38</xdr:col>
      <xdr:colOff>28575</xdr:colOff>
      <xdr:row>17</xdr:row>
      <xdr:rowOff>76200</xdr:rowOff>
    </xdr:from>
    <xdr:ext cx="209550" cy="200025"/>
    <xdr:sp>
      <xdr:nvSpPr>
        <xdr:cNvPr id="106" name="TextBox 108"/>
        <xdr:cNvSpPr txBox="1">
          <a:spLocks noChangeArrowheads="1"/>
        </xdr:cNvSpPr>
      </xdr:nvSpPr>
      <xdr:spPr>
        <a:xfrm>
          <a:off x="14963775" y="34575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39</xdr:col>
      <xdr:colOff>47625</xdr:colOff>
      <xdr:row>17</xdr:row>
      <xdr:rowOff>76200</xdr:rowOff>
    </xdr:from>
    <xdr:ext cx="209550" cy="200025"/>
    <xdr:sp>
      <xdr:nvSpPr>
        <xdr:cNvPr id="107" name="TextBox 109"/>
        <xdr:cNvSpPr txBox="1">
          <a:spLocks noChangeArrowheads="1"/>
        </xdr:cNvSpPr>
      </xdr:nvSpPr>
      <xdr:spPr>
        <a:xfrm>
          <a:off x="15363825" y="34575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40</xdr:col>
      <xdr:colOff>28575</xdr:colOff>
      <xdr:row>17</xdr:row>
      <xdr:rowOff>66675</xdr:rowOff>
    </xdr:from>
    <xdr:ext cx="209550" cy="200025"/>
    <xdr:sp>
      <xdr:nvSpPr>
        <xdr:cNvPr id="108" name="TextBox 110"/>
        <xdr:cNvSpPr txBox="1">
          <a:spLocks noChangeArrowheads="1"/>
        </xdr:cNvSpPr>
      </xdr:nvSpPr>
      <xdr:spPr>
        <a:xfrm>
          <a:off x="15725775" y="34480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oneCellAnchor>
  <xdr:oneCellAnchor>
    <xdr:from>
      <xdr:col>41</xdr:col>
      <xdr:colOff>28575</xdr:colOff>
      <xdr:row>17</xdr:row>
      <xdr:rowOff>76200</xdr:rowOff>
    </xdr:from>
    <xdr:ext cx="209550" cy="200025"/>
    <xdr:sp>
      <xdr:nvSpPr>
        <xdr:cNvPr id="109" name="TextBox 111"/>
        <xdr:cNvSpPr txBox="1">
          <a:spLocks noChangeArrowheads="1"/>
        </xdr:cNvSpPr>
      </xdr:nvSpPr>
      <xdr:spPr>
        <a:xfrm>
          <a:off x="16106775" y="34575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oneCellAnchor>
  <xdr:oneCellAnchor>
    <xdr:from>
      <xdr:col>42</xdr:col>
      <xdr:colOff>28575</xdr:colOff>
      <xdr:row>17</xdr:row>
      <xdr:rowOff>66675</xdr:rowOff>
    </xdr:from>
    <xdr:ext cx="209550" cy="200025"/>
    <xdr:sp>
      <xdr:nvSpPr>
        <xdr:cNvPr id="110" name="TextBox 112"/>
        <xdr:cNvSpPr txBox="1">
          <a:spLocks noChangeArrowheads="1"/>
        </xdr:cNvSpPr>
      </xdr:nvSpPr>
      <xdr:spPr>
        <a:xfrm>
          <a:off x="16487775" y="34480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</a:t>
          </a:r>
        </a:p>
      </xdr:txBody>
    </xdr:sp>
    <xdr:clientData/>
  </xdr:oneCellAnchor>
  <xdr:oneCellAnchor>
    <xdr:from>
      <xdr:col>23</xdr:col>
      <xdr:colOff>19050</xdr:colOff>
      <xdr:row>1</xdr:row>
      <xdr:rowOff>95250</xdr:rowOff>
    </xdr:from>
    <xdr:ext cx="981075" cy="200025"/>
    <xdr:sp>
      <xdr:nvSpPr>
        <xdr:cNvPr id="111" name="TextBox 113"/>
        <xdr:cNvSpPr txBox="1">
          <a:spLocks noChangeArrowheads="1"/>
        </xdr:cNvSpPr>
      </xdr:nvSpPr>
      <xdr:spPr>
        <a:xfrm>
          <a:off x="9239250" y="295275"/>
          <a:ext cx="981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 838.132.234</a:t>
          </a:r>
        </a:p>
      </xdr:txBody>
    </xdr:sp>
    <xdr:clientData/>
  </xdr:oneCellAnchor>
  <xdr:oneCellAnchor>
    <xdr:from>
      <xdr:col>23</xdr:col>
      <xdr:colOff>257175</xdr:colOff>
      <xdr:row>18</xdr:row>
      <xdr:rowOff>66675</xdr:rowOff>
    </xdr:from>
    <xdr:ext cx="219075" cy="923925"/>
    <xdr:sp>
      <xdr:nvSpPr>
        <xdr:cNvPr id="112" name="TextBox 114"/>
        <xdr:cNvSpPr txBox="1">
          <a:spLocks noChangeArrowheads="1"/>
        </xdr:cNvSpPr>
      </xdr:nvSpPr>
      <xdr:spPr>
        <a:xfrm>
          <a:off x="9477375" y="3648075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108.693.310</a:t>
          </a:r>
        </a:p>
      </xdr:txBody>
    </xdr:sp>
    <xdr:clientData/>
  </xdr:oneCellAnchor>
  <xdr:oneCellAnchor>
    <xdr:from>
      <xdr:col>24</xdr:col>
      <xdr:colOff>257175</xdr:colOff>
      <xdr:row>18</xdr:row>
      <xdr:rowOff>114300</xdr:rowOff>
    </xdr:from>
    <xdr:ext cx="219075" cy="923925"/>
    <xdr:sp>
      <xdr:nvSpPr>
        <xdr:cNvPr id="113" name="TextBox 115"/>
        <xdr:cNvSpPr txBox="1">
          <a:spLocks noChangeArrowheads="1"/>
        </xdr:cNvSpPr>
      </xdr:nvSpPr>
      <xdr:spPr>
        <a:xfrm>
          <a:off x="9858375" y="369570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119.562.641</a:t>
          </a:r>
        </a:p>
      </xdr:txBody>
    </xdr:sp>
    <xdr:clientData/>
  </xdr:oneCellAnchor>
  <xdr:oneCellAnchor>
    <xdr:from>
      <xdr:col>25</xdr:col>
      <xdr:colOff>257175</xdr:colOff>
      <xdr:row>19</xdr:row>
      <xdr:rowOff>76200</xdr:rowOff>
    </xdr:from>
    <xdr:ext cx="219075" cy="923925"/>
    <xdr:sp>
      <xdr:nvSpPr>
        <xdr:cNvPr id="114" name="TextBox 116"/>
        <xdr:cNvSpPr txBox="1">
          <a:spLocks noChangeArrowheads="1"/>
        </xdr:cNvSpPr>
      </xdr:nvSpPr>
      <xdr:spPr>
        <a:xfrm>
          <a:off x="10239375" y="3857625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131.518.905</a:t>
          </a:r>
        </a:p>
      </xdr:txBody>
    </xdr:sp>
    <xdr:clientData/>
  </xdr:oneCellAnchor>
  <xdr:oneCellAnchor>
    <xdr:from>
      <xdr:col>26</xdr:col>
      <xdr:colOff>285750</xdr:colOff>
      <xdr:row>19</xdr:row>
      <xdr:rowOff>114300</xdr:rowOff>
    </xdr:from>
    <xdr:ext cx="219075" cy="923925"/>
    <xdr:sp>
      <xdr:nvSpPr>
        <xdr:cNvPr id="115" name="TextBox 117"/>
        <xdr:cNvSpPr txBox="1">
          <a:spLocks noChangeArrowheads="1"/>
        </xdr:cNvSpPr>
      </xdr:nvSpPr>
      <xdr:spPr>
        <a:xfrm>
          <a:off x="10648950" y="3895725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144.670.796</a:t>
          </a:r>
        </a:p>
      </xdr:txBody>
    </xdr:sp>
    <xdr:clientData/>
  </xdr:oneCellAnchor>
  <xdr:oneCellAnchor>
    <xdr:from>
      <xdr:col>27</xdr:col>
      <xdr:colOff>266700</xdr:colOff>
      <xdr:row>20</xdr:row>
      <xdr:rowOff>76200</xdr:rowOff>
    </xdr:from>
    <xdr:ext cx="219075" cy="923925"/>
    <xdr:sp>
      <xdr:nvSpPr>
        <xdr:cNvPr id="116" name="TextBox 118"/>
        <xdr:cNvSpPr txBox="1">
          <a:spLocks noChangeArrowheads="1"/>
        </xdr:cNvSpPr>
      </xdr:nvSpPr>
      <xdr:spPr>
        <a:xfrm>
          <a:off x="11010900" y="405765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159.137.875</a:t>
          </a:r>
        </a:p>
      </xdr:txBody>
    </xdr:sp>
    <xdr:clientData/>
  </xdr:oneCellAnchor>
  <xdr:oneCellAnchor>
    <xdr:from>
      <xdr:col>28</xdr:col>
      <xdr:colOff>285750</xdr:colOff>
      <xdr:row>21</xdr:row>
      <xdr:rowOff>28575</xdr:rowOff>
    </xdr:from>
    <xdr:ext cx="219075" cy="923925"/>
    <xdr:sp>
      <xdr:nvSpPr>
        <xdr:cNvPr id="117" name="TextBox 119"/>
        <xdr:cNvSpPr txBox="1">
          <a:spLocks noChangeArrowheads="1"/>
        </xdr:cNvSpPr>
      </xdr:nvSpPr>
      <xdr:spPr>
        <a:xfrm>
          <a:off x="11410950" y="421005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175.051.663</a:t>
          </a:r>
        </a:p>
      </xdr:txBody>
    </xdr:sp>
    <xdr:clientData/>
  </xdr:oneCellAnchor>
  <xdr:oneCellAnchor>
    <xdr:from>
      <xdr:col>29</xdr:col>
      <xdr:colOff>266700</xdr:colOff>
      <xdr:row>21</xdr:row>
      <xdr:rowOff>123825</xdr:rowOff>
    </xdr:from>
    <xdr:ext cx="219075" cy="923925"/>
    <xdr:sp>
      <xdr:nvSpPr>
        <xdr:cNvPr id="118" name="TextBox 120"/>
        <xdr:cNvSpPr txBox="1">
          <a:spLocks noChangeArrowheads="1"/>
        </xdr:cNvSpPr>
      </xdr:nvSpPr>
      <xdr:spPr>
        <a:xfrm>
          <a:off x="11772900" y="430530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192.556.829</a:t>
          </a:r>
        </a:p>
      </xdr:txBody>
    </xdr:sp>
    <xdr:clientData/>
  </xdr:oneCellAnchor>
  <xdr:oneCellAnchor>
    <xdr:from>
      <xdr:col>30</xdr:col>
      <xdr:colOff>266700</xdr:colOff>
      <xdr:row>22</xdr:row>
      <xdr:rowOff>19050</xdr:rowOff>
    </xdr:from>
    <xdr:ext cx="219075" cy="923925"/>
    <xdr:sp>
      <xdr:nvSpPr>
        <xdr:cNvPr id="119" name="TextBox 121"/>
        <xdr:cNvSpPr txBox="1">
          <a:spLocks noChangeArrowheads="1"/>
        </xdr:cNvSpPr>
      </xdr:nvSpPr>
      <xdr:spPr>
        <a:xfrm>
          <a:off x="12153900" y="440055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211.812.512</a:t>
          </a:r>
        </a:p>
      </xdr:txBody>
    </xdr:sp>
    <xdr:clientData/>
  </xdr:oneCellAnchor>
  <xdr:oneCellAnchor>
    <xdr:from>
      <xdr:col>31</xdr:col>
      <xdr:colOff>285750</xdr:colOff>
      <xdr:row>22</xdr:row>
      <xdr:rowOff>95250</xdr:rowOff>
    </xdr:from>
    <xdr:ext cx="219075" cy="923925"/>
    <xdr:sp>
      <xdr:nvSpPr>
        <xdr:cNvPr id="120" name="TextBox 122"/>
        <xdr:cNvSpPr txBox="1">
          <a:spLocks noChangeArrowheads="1"/>
        </xdr:cNvSpPr>
      </xdr:nvSpPr>
      <xdr:spPr>
        <a:xfrm>
          <a:off x="12553950" y="447675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232.993.763</a:t>
          </a:r>
        </a:p>
      </xdr:txBody>
    </xdr:sp>
    <xdr:clientData/>
  </xdr:oneCellAnchor>
  <xdr:oneCellAnchor>
    <xdr:from>
      <xdr:col>32</xdr:col>
      <xdr:colOff>285750</xdr:colOff>
      <xdr:row>23</xdr:row>
      <xdr:rowOff>19050</xdr:rowOff>
    </xdr:from>
    <xdr:ext cx="219075" cy="923925"/>
    <xdr:sp>
      <xdr:nvSpPr>
        <xdr:cNvPr id="121" name="TextBox 123"/>
        <xdr:cNvSpPr txBox="1">
          <a:spLocks noChangeArrowheads="1"/>
        </xdr:cNvSpPr>
      </xdr:nvSpPr>
      <xdr:spPr>
        <a:xfrm>
          <a:off x="12934950" y="4600575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256.293.139</a:t>
          </a:r>
        </a:p>
      </xdr:txBody>
    </xdr:sp>
    <xdr:clientData/>
  </xdr:oneCellAnchor>
  <xdr:oneCellAnchor>
    <xdr:from>
      <xdr:col>33</xdr:col>
      <xdr:colOff>266700</xdr:colOff>
      <xdr:row>23</xdr:row>
      <xdr:rowOff>123825</xdr:rowOff>
    </xdr:from>
    <xdr:ext cx="219075" cy="923925"/>
    <xdr:sp>
      <xdr:nvSpPr>
        <xdr:cNvPr id="122" name="TextBox 125"/>
        <xdr:cNvSpPr txBox="1">
          <a:spLocks noChangeArrowheads="1"/>
        </xdr:cNvSpPr>
      </xdr:nvSpPr>
      <xdr:spPr>
        <a:xfrm>
          <a:off x="13296900" y="470535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281.922.453</a:t>
          </a:r>
        </a:p>
      </xdr:txBody>
    </xdr:sp>
    <xdr:clientData/>
  </xdr:oneCellAnchor>
  <xdr:oneCellAnchor>
    <xdr:from>
      <xdr:col>41</xdr:col>
      <xdr:colOff>257175</xdr:colOff>
      <xdr:row>27</xdr:row>
      <xdr:rowOff>142875</xdr:rowOff>
    </xdr:from>
    <xdr:ext cx="219075" cy="923925"/>
    <xdr:sp>
      <xdr:nvSpPr>
        <xdr:cNvPr id="123" name="TextBox 126"/>
        <xdr:cNvSpPr txBox="1">
          <a:spLocks noChangeArrowheads="1"/>
        </xdr:cNvSpPr>
      </xdr:nvSpPr>
      <xdr:spPr>
        <a:xfrm>
          <a:off x="16335375" y="5534025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604.325.816</a:t>
          </a:r>
        </a:p>
      </xdr:txBody>
    </xdr:sp>
    <xdr:clientData/>
  </xdr:oneCellAnchor>
  <xdr:oneCellAnchor>
    <xdr:from>
      <xdr:col>34</xdr:col>
      <xdr:colOff>266700</xdr:colOff>
      <xdr:row>24</xdr:row>
      <xdr:rowOff>0</xdr:rowOff>
    </xdr:from>
    <xdr:ext cx="219075" cy="923925"/>
    <xdr:sp>
      <xdr:nvSpPr>
        <xdr:cNvPr id="124" name="TextBox 127"/>
        <xdr:cNvSpPr txBox="1">
          <a:spLocks noChangeArrowheads="1"/>
        </xdr:cNvSpPr>
      </xdr:nvSpPr>
      <xdr:spPr>
        <a:xfrm>
          <a:off x="13677900" y="4791075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310.114.699</a:t>
          </a:r>
        </a:p>
      </xdr:txBody>
    </xdr:sp>
    <xdr:clientData/>
  </xdr:oneCellAnchor>
  <xdr:oneCellAnchor>
    <xdr:from>
      <xdr:col>35</xdr:col>
      <xdr:colOff>257175</xdr:colOff>
      <xdr:row>24</xdr:row>
      <xdr:rowOff>123825</xdr:rowOff>
    </xdr:from>
    <xdr:ext cx="219075" cy="923925"/>
    <xdr:sp>
      <xdr:nvSpPr>
        <xdr:cNvPr id="125" name="TextBox 128"/>
        <xdr:cNvSpPr txBox="1">
          <a:spLocks noChangeArrowheads="1"/>
        </xdr:cNvSpPr>
      </xdr:nvSpPr>
      <xdr:spPr>
        <a:xfrm>
          <a:off x="14049375" y="491490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341.126.168</a:t>
          </a:r>
        </a:p>
      </xdr:txBody>
    </xdr:sp>
    <xdr:clientData/>
  </xdr:oneCellAnchor>
  <xdr:oneCellAnchor>
    <xdr:from>
      <xdr:col>36</xdr:col>
      <xdr:colOff>257175</xdr:colOff>
      <xdr:row>25</xdr:row>
      <xdr:rowOff>66675</xdr:rowOff>
    </xdr:from>
    <xdr:ext cx="219075" cy="923925"/>
    <xdr:sp>
      <xdr:nvSpPr>
        <xdr:cNvPr id="126" name="TextBox 129"/>
        <xdr:cNvSpPr txBox="1">
          <a:spLocks noChangeArrowheads="1"/>
        </xdr:cNvSpPr>
      </xdr:nvSpPr>
      <xdr:spPr>
        <a:xfrm>
          <a:off x="14430375" y="5057775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375.238.785</a:t>
          </a:r>
        </a:p>
      </xdr:txBody>
    </xdr:sp>
    <xdr:clientData/>
  </xdr:oneCellAnchor>
  <xdr:oneCellAnchor>
    <xdr:from>
      <xdr:col>37</xdr:col>
      <xdr:colOff>257175</xdr:colOff>
      <xdr:row>25</xdr:row>
      <xdr:rowOff>161925</xdr:rowOff>
    </xdr:from>
    <xdr:ext cx="219075" cy="923925"/>
    <xdr:sp>
      <xdr:nvSpPr>
        <xdr:cNvPr id="127" name="TextBox 130"/>
        <xdr:cNvSpPr txBox="1">
          <a:spLocks noChangeArrowheads="1"/>
        </xdr:cNvSpPr>
      </xdr:nvSpPr>
      <xdr:spPr>
        <a:xfrm>
          <a:off x="14811375" y="5153025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412.762.664</a:t>
          </a:r>
        </a:p>
      </xdr:txBody>
    </xdr:sp>
    <xdr:clientData/>
  </xdr:oneCellAnchor>
  <xdr:oneCellAnchor>
    <xdr:from>
      <xdr:col>39</xdr:col>
      <xdr:colOff>266700</xdr:colOff>
      <xdr:row>26</xdr:row>
      <xdr:rowOff>114300</xdr:rowOff>
    </xdr:from>
    <xdr:ext cx="219075" cy="923925"/>
    <xdr:sp>
      <xdr:nvSpPr>
        <xdr:cNvPr id="128" name="TextBox 131"/>
        <xdr:cNvSpPr txBox="1">
          <a:spLocks noChangeArrowheads="1"/>
        </xdr:cNvSpPr>
      </xdr:nvSpPr>
      <xdr:spPr>
        <a:xfrm>
          <a:off x="15582900" y="5305425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499.442.823</a:t>
          </a:r>
        </a:p>
      </xdr:txBody>
    </xdr:sp>
    <xdr:clientData/>
  </xdr:oneCellAnchor>
  <xdr:oneCellAnchor>
    <xdr:from>
      <xdr:col>40</xdr:col>
      <xdr:colOff>266700</xdr:colOff>
      <xdr:row>27</xdr:row>
      <xdr:rowOff>19050</xdr:rowOff>
    </xdr:from>
    <xdr:ext cx="219075" cy="923925"/>
    <xdr:sp>
      <xdr:nvSpPr>
        <xdr:cNvPr id="129" name="TextBox 132"/>
        <xdr:cNvSpPr txBox="1">
          <a:spLocks noChangeArrowheads="1"/>
        </xdr:cNvSpPr>
      </xdr:nvSpPr>
      <xdr:spPr>
        <a:xfrm>
          <a:off x="15963900" y="541020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549.387.106</a:t>
          </a:r>
        </a:p>
      </xdr:txBody>
    </xdr:sp>
    <xdr:clientData/>
  </xdr:oneCellAnchor>
  <xdr:oneCellAnchor>
    <xdr:from>
      <xdr:col>43</xdr:col>
      <xdr:colOff>114300</xdr:colOff>
      <xdr:row>27</xdr:row>
      <xdr:rowOff>19050</xdr:rowOff>
    </xdr:from>
    <xdr:ext cx="942975" cy="200025"/>
    <xdr:sp>
      <xdr:nvSpPr>
        <xdr:cNvPr id="130" name="TextBox 133"/>
        <xdr:cNvSpPr txBox="1">
          <a:spLocks noChangeArrowheads="1"/>
        </xdr:cNvSpPr>
      </xdr:nvSpPr>
      <xdr:spPr>
        <a:xfrm>
          <a:off x="16954500" y="5410200"/>
          <a:ext cx="942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664.758.398</a:t>
          </a:r>
        </a:p>
      </xdr:txBody>
    </xdr:sp>
    <xdr:clientData/>
  </xdr:oneCellAnchor>
  <xdr:oneCellAnchor>
    <xdr:from>
      <xdr:col>32</xdr:col>
      <xdr:colOff>209550</xdr:colOff>
      <xdr:row>8</xdr:row>
      <xdr:rowOff>114300</xdr:rowOff>
    </xdr:from>
    <xdr:ext cx="76200" cy="200025"/>
    <xdr:sp>
      <xdr:nvSpPr>
        <xdr:cNvPr id="131" name="TextBox 134"/>
        <xdr:cNvSpPr txBox="1">
          <a:spLocks noChangeArrowheads="1"/>
        </xdr:cNvSpPr>
      </xdr:nvSpPr>
      <xdr:spPr>
        <a:xfrm>
          <a:off x="12858750" y="169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266700</xdr:colOff>
      <xdr:row>34</xdr:row>
      <xdr:rowOff>19050</xdr:rowOff>
    </xdr:from>
    <xdr:ext cx="1047750" cy="200025"/>
    <xdr:sp>
      <xdr:nvSpPr>
        <xdr:cNvPr id="132" name="TextBox 135"/>
        <xdr:cNvSpPr txBox="1">
          <a:spLocks noChangeArrowheads="1"/>
        </xdr:cNvSpPr>
      </xdr:nvSpPr>
      <xdr:spPr>
        <a:xfrm>
          <a:off x="16344900" y="6810375"/>
          <a:ext cx="1047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1.856.250.000</a:t>
          </a:r>
        </a:p>
      </xdr:txBody>
    </xdr:sp>
    <xdr:clientData/>
  </xdr:oneCellAnchor>
  <xdr:twoCellAnchor>
    <xdr:from>
      <xdr:col>3</xdr:col>
      <xdr:colOff>0</xdr:colOff>
      <xdr:row>17</xdr:row>
      <xdr:rowOff>9525</xdr:rowOff>
    </xdr:from>
    <xdr:to>
      <xdr:col>3</xdr:col>
      <xdr:colOff>0</xdr:colOff>
      <xdr:row>18</xdr:row>
      <xdr:rowOff>66675</xdr:rowOff>
    </xdr:to>
    <xdr:sp>
      <xdr:nvSpPr>
        <xdr:cNvPr id="133" name="Line 136"/>
        <xdr:cNvSpPr>
          <a:spLocks/>
        </xdr:cNvSpPr>
      </xdr:nvSpPr>
      <xdr:spPr>
        <a:xfrm>
          <a:off x="1143000" y="33909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76200</xdr:rowOff>
    </xdr:from>
    <xdr:to>
      <xdr:col>24</xdr:col>
      <xdr:colOff>0</xdr:colOff>
      <xdr:row>17</xdr:row>
      <xdr:rowOff>0</xdr:rowOff>
    </xdr:to>
    <xdr:sp>
      <xdr:nvSpPr>
        <xdr:cNvPr id="134" name="Line 138"/>
        <xdr:cNvSpPr>
          <a:spLocks/>
        </xdr:cNvSpPr>
      </xdr:nvSpPr>
      <xdr:spPr>
        <a:xfrm>
          <a:off x="9601200" y="3257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371475</xdr:colOff>
      <xdr:row>16</xdr:row>
      <xdr:rowOff>38100</xdr:rowOff>
    </xdr:from>
    <xdr:to>
      <xdr:col>25</xdr:col>
      <xdr:colOff>0</xdr:colOff>
      <xdr:row>17</xdr:row>
      <xdr:rowOff>19050</xdr:rowOff>
    </xdr:to>
    <xdr:sp>
      <xdr:nvSpPr>
        <xdr:cNvPr id="135" name="Line 139"/>
        <xdr:cNvSpPr>
          <a:spLocks/>
        </xdr:cNvSpPr>
      </xdr:nvSpPr>
      <xdr:spPr>
        <a:xfrm>
          <a:off x="9972675" y="32194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371475</xdr:colOff>
      <xdr:row>16</xdr:row>
      <xdr:rowOff>28575</xdr:rowOff>
    </xdr:from>
    <xdr:to>
      <xdr:col>26</xdr:col>
      <xdr:colOff>0</xdr:colOff>
      <xdr:row>17</xdr:row>
      <xdr:rowOff>9525</xdr:rowOff>
    </xdr:to>
    <xdr:sp>
      <xdr:nvSpPr>
        <xdr:cNvPr id="136" name="Line 140"/>
        <xdr:cNvSpPr>
          <a:spLocks/>
        </xdr:cNvSpPr>
      </xdr:nvSpPr>
      <xdr:spPr>
        <a:xfrm>
          <a:off x="10353675" y="320992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9525</xdr:rowOff>
    </xdr:from>
    <xdr:to>
      <xdr:col>27</xdr:col>
      <xdr:colOff>9525</xdr:colOff>
      <xdr:row>17</xdr:row>
      <xdr:rowOff>0</xdr:rowOff>
    </xdr:to>
    <xdr:sp>
      <xdr:nvSpPr>
        <xdr:cNvPr id="137" name="Line 141"/>
        <xdr:cNvSpPr>
          <a:spLocks/>
        </xdr:cNvSpPr>
      </xdr:nvSpPr>
      <xdr:spPr>
        <a:xfrm>
          <a:off x="10744200" y="319087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142875</xdr:rowOff>
    </xdr:from>
    <xdr:to>
      <xdr:col>28</xdr:col>
      <xdr:colOff>0</xdr:colOff>
      <xdr:row>17</xdr:row>
      <xdr:rowOff>0</xdr:rowOff>
    </xdr:to>
    <xdr:sp>
      <xdr:nvSpPr>
        <xdr:cNvPr id="138" name="Line 142"/>
        <xdr:cNvSpPr>
          <a:spLocks/>
        </xdr:cNvSpPr>
      </xdr:nvSpPr>
      <xdr:spPr>
        <a:xfrm>
          <a:off x="11125200" y="31242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15</xdr:row>
      <xdr:rowOff>142875</xdr:rowOff>
    </xdr:from>
    <xdr:to>
      <xdr:col>29</xdr:col>
      <xdr:colOff>9525</xdr:colOff>
      <xdr:row>17</xdr:row>
      <xdr:rowOff>0</xdr:rowOff>
    </xdr:to>
    <xdr:sp>
      <xdr:nvSpPr>
        <xdr:cNvPr id="139" name="Line 143"/>
        <xdr:cNvSpPr>
          <a:spLocks/>
        </xdr:cNvSpPr>
      </xdr:nvSpPr>
      <xdr:spPr>
        <a:xfrm>
          <a:off x="11515725" y="31242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57150</xdr:rowOff>
    </xdr:from>
    <xdr:to>
      <xdr:col>30</xdr:col>
      <xdr:colOff>0</xdr:colOff>
      <xdr:row>17</xdr:row>
      <xdr:rowOff>9525</xdr:rowOff>
    </xdr:to>
    <xdr:sp>
      <xdr:nvSpPr>
        <xdr:cNvPr id="140" name="Line 144"/>
        <xdr:cNvSpPr>
          <a:spLocks/>
        </xdr:cNvSpPr>
      </xdr:nvSpPr>
      <xdr:spPr>
        <a:xfrm>
          <a:off x="11887200" y="30384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152400</xdr:rowOff>
    </xdr:from>
    <xdr:to>
      <xdr:col>31</xdr:col>
      <xdr:colOff>0</xdr:colOff>
      <xdr:row>17</xdr:row>
      <xdr:rowOff>0</xdr:rowOff>
    </xdr:to>
    <xdr:sp>
      <xdr:nvSpPr>
        <xdr:cNvPr id="141" name="Line 145"/>
        <xdr:cNvSpPr>
          <a:spLocks/>
        </xdr:cNvSpPr>
      </xdr:nvSpPr>
      <xdr:spPr>
        <a:xfrm>
          <a:off x="12268200" y="2933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76200</xdr:rowOff>
    </xdr:from>
    <xdr:to>
      <xdr:col>32</xdr:col>
      <xdr:colOff>0</xdr:colOff>
      <xdr:row>16</xdr:row>
      <xdr:rowOff>152400</xdr:rowOff>
    </xdr:to>
    <xdr:sp>
      <xdr:nvSpPr>
        <xdr:cNvPr id="142" name="Line 146"/>
        <xdr:cNvSpPr>
          <a:spLocks/>
        </xdr:cNvSpPr>
      </xdr:nvSpPr>
      <xdr:spPr>
        <a:xfrm>
          <a:off x="12649200" y="28575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371475</xdr:colOff>
      <xdr:row>13</xdr:row>
      <xdr:rowOff>133350</xdr:rowOff>
    </xdr:from>
    <xdr:to>
      <xdr:col>33</xdr:col>
      <xdr:colOff>0</xdr:colOff>
      <xdr:row>16</xdr:row>
      <xdr:rowOff>152400</xdr:rowOff>
    </xdr:to>
    <xdr:sp>
      <xdr:nvSpPr>
        <xdr:cNvPr id="143" name="Line 147"/>
        <xdr:cNvSpPr>
          <a:spLocks/>
        </xdr:cNvSpPr>
      </xdr:nvSpPr>
      <xdr:spPr>
        <a:xfrm>
          <a:off x="13020675" y="2714625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13</xdr:row>
      <xdr:rowOff>85725</xdr:rowOff>
    </xdr:from>
    <xdr:to>
      <xdr:col>34</xdr:col>
      <xdr:colOff>9525</xdr:colOff>
      <xdr:row>16</xdr:row>
      <xdr:rowOff>152400</xdr:rowOff>
    </xdr:to>
    <xdr:sp>
      <xdr:nvSpPr>
        <xdr:cNvPr id="144" name="Line 148"/>
        <xdr:cNvSpPr>
          <a:spLocks/>
        </xdr:cNvSpPr>
      </xdr:nvSpPr>
      <xdr:spPr>
        <a:xfrm>
          <a:off x="13420725" y="26670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</xdr:row>
      <xdr:rowOff>0</xdr:rowOff>
    </xdr:from>
    <xdr:to>
      <xdr:col>35</xdr:col>
      <xdr:colOff>0</xdr:colOff>
      <xdr:row>17</xdr:row>
      <xdr:rowOff>0</xdr:rowOff>
    </xdr:to>
    <xdr:sp>
      <xdr:nvSpPr>
        <xdr:cNvPr id="145" name="Line 149"/>
        <xdr:cNvSpPr>
          <a:spLocks/>
        </xdr:cNvSpPr>
      </xdr:nvSpPr>
      <xdr:spPr>
        <a:xfrm>
          <a:off x="13792200" y="25812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12</xdr:row>
      <xdr:rowOff>104775</xdr:rowOff>
    </xdr:from>
    <xdr:to>
      <xdr:col>36</xdr:col>
      <xdr:colOff>0</xdr:colOff>
      <xdr:row>17</xdr:row>
      <xdr:rowOff>0</xdr:rowOff>
    </xdr:to>
    <xdr:sp>
      <xdr:nvSpPr>
        <xdr:cNvPr id="146" name="Line 150"/>
        <xdr:cNvSpPr>
          <a:spLocks/>
        </xdr:cNvSpPr>
      </xdr:nvSpPr>
      <xdr:spPr>
        <a:xfrm>
          <a:off x="14173200" y="24860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152400</xdr:rowOff>
    </xdr:from>
    <xdr:to>
      <xdr:col>37</xdr:col>
      <xdr:colOff>0</xdr:colOff>
      <xdr:row>17</xdr:row>
      <xdr:rowOff>0</xdr:rowOff>
    </xdr:to>
    <xdr:sp>
      <xdr:nvSpPr>
        <xdr:cNvPr id="147" name="Line 151"/>
        <xdr:cNvSpPr>
          <a:spLocks/>
        </xdr:cNvSpPr>
      </xdr:nvSpPr>
      <xdr:spPr>
        <a:xfrm>
          <a:off x="14554200" y="23336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11</xdr:row>
      <xdr:rowOff>47625</xdr:rowOff>
    </xdr:from>
    <xdr:to>
      <xdr:col>38</xdr:col>
      <xdr:colOff>0</xdr:colOff>
      <xdr:row>16</xdr:row>
      <xdr:rowOff>152400</xdr:rowOff>
    </xdr:to>
    <xdr:sp>
      <xdr:nvSpPr>
        <xdr:cNvPr id="148" name="Line 152"/>
        <xdr:cNvSpPr>
          <a:spLocks/>
        </xdr:cNvSpPr>
      </xdr:nvSpPr>
      <xdr:spPr>
        <a:xfrm>
          <a:off x="14935200" y="22288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0</xdr:rowOff>
    </xdr:from>
    <xdr:to>
      <xdr:col>39</xdr:col>
      <xdr:colOff>9525</xdr:colOff>
      <xdr:row>16</xdr:row>
      <xdr:rowOff>152400</xdr:rowOff>
    </xdr:to>
    <xdr:sp>
      <xdr:nvSpPr>
        <xdr:cNvPr id="149" name="Line 153"/>
        <xdr:cNvSpPr>
          <a:spLocks/>
        </xdr:cNvSpPr>
      </xdr:nvSpPr>
      <xdr:spPr>
        <a:xfrm flipH="1">
          <a:off x="15316200" y="2181225"/>
          <a:ext cx="95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10</xdr:row>
      <xdr:rowOff>95250</xdr:rowOff>
    </xdr:from>
    <xdr:to>
      <xdr:col>40</xdr:col>
      <xdr:colOff>0</xdr:colOff>
      <xdr:row>17</xdr:row>
      <xdr:rowOff>0</xdr:rowOff>
    </xdr:to>
    <xdr:sp>
      <xdr:nvSpPr>
        <xdr:cNvPr id="150" name="Line 154"/>
        <xdr:cNvSpPr>
          <a:spLocks/>
        </xdr:cNvSpPr>
      </xdr:nvSpPr>
      <xdr:spPr>
        <a:xfrm>
          <a:off x="15697200" y="207645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10</xdr:row>
      <xdr:rowOff>9525</xdr:rowOff>
    </xdr:from>
    <xdr:to>
      <xdr:col>41</xdr:col>
      <xdr:colOff>0</xdr:colOff>
      <xdr:row>16</xdr:row>
      <xdr:rowOff>152400</xdr:rowOff>
    </xdr:to>
    <xdr:sp>
      <xdr:nvSpPr>
        <xdr:cNvPr id="151" name="Line 155"/>
        <xdr:cNvSpPr>
          <a:spLocks/>
        </xdr:cNvSpPr>
      </xdr:nvSpPr>
      <xdr:spPr>
        <a:xfrm>
          <a:off x="16078200" y="199072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9</xdr:row>
      <xdr:rowOff>66675</xdr:rowOff>
    </xdr:from>
    <xdr:to>
      <xdr:col>42</xdr:col>
      <xdr:colOff>0</xdr:colOff>
      <xdr:row>16</xdr:row>
      <xdr:rowOff>152400</xdr:rowOff>
    </xdr:to>
    <xdr:sp>
      <xdr:nvSpPr>
        <xdr:cNvPr id="152" name="Line 156"/>
        <xdr:cNvSpPr>
          <a:spLocks/>
        </xdr:cNvSpPr>
      </xdr:nvSpPr>
      <xdr:spPr>
        <a:xfrm>
          <a:off x="16459200" y="18478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266700</xdr:colOff>
      <xdr:row>10</xdr:row>
      <xdr:rowOff>142875</xdr:rowOff>
    </xdr:from>
    <xdr:ext cx="219075" cy="857250"/>
    <xdr:sp>
      <xdr:nvSpPr>
        <xdr:cNvPr id="153" name="TextBox 180"/>
        <xdr:cNvSpPr txBox="1">
          <a:spLocks noChangeArrowheads="1"/>
        </xdr:cNvSpPr>
      </xdr:nvSpPr>
      <xdr:spPr>
        <a:xfrm>
          <a:off x="9486900" y="2124075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53.233.875</a:t>
          </a:r>
        </a:p>
      </xdr:txBody>
    </xdr:sp>
    <xdr:clientData/>
  </xdr:oneCellAnchor>
  <xdr:oneCellAnchor>
    <xdr:from>
      <xdr:col>24</xdr:col>
      <xdr:colOff>266700</xdr:colOff>
      <xdr:row>10</xdr:row>
      <xdr:rowOff>114300</xdr:rowOff>
    </xdr:from>
    <xdr:ext cx="219075" cy="857250"/>
    <xdr:sp>
      <xdr:nvSpPr>
        <xdr:cNvPr id="154" name="TextBox 181"/>
        <xdr:cNvSpPr txBox="1">
          <a:spLocks noChangeArrowheads="1"/>
        </xdr:cNvSpPr>
      </xdr:nvSpPr>
      <xdr:spPr>
        <a:xfrm>
          <a:off x="9867900" y="2095500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56.439.036</a:t>
          </a:r>
        </a:p>
      </xdr:txBody>
    </xdr:sp>
    <xdr:clientData/>
  </xdr:oneCellAnchor>
  <xdr:oneCellAnchor>
    <xdr:from>
      <xdr:col>25</xdr:col>
      <xdr:colOff>266700</xdr:colOff>
      <xdr:row>10</xdr:row>
      <xdr:rowOff>114300</xdr:rowOff>
    </xdr:from>
    <xdr:ext cx="219075" cy="857250"/>
    <xdr:sp>
      <xdr:nvSpPr>
        <xdr:cNvPr id="155" name="TextBox 182"/>
        <xdr:cNvSpPr txBox="1">
          <a:spLocks noChangeArrowheads="1"/>
        </xdr:cNvSpPr>
      </xdr:nvSpPr>
      <xdr:spPr>
        <a:xfrm>
          <a:off x="10248900" y="2095500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57.857.076</a:t>
          </a:r>
        </a:p>
      </xdr:txBody>
    </xdr:sp>
    <xdr:clientData/>
  </xdr:oneCellAnchor>
  <xdr:oneCellAnchor>
    <xdr:from>
      <xdr:col>26</xdr:col>
      <xdr:colOff>266700</xdr:colOff>
      <xdr:row>10</xdr:row>
      <xdr:rowOff>95250</xdr:rowOff>
    </xdr:from>
    <xdr:ext cx="219075" cy="857250"/>
    <xdr:sp>
      <xdr:nvSpPr>
        <xdr:cNvPr id="156" name="TextBox 183"/>
        <xdr:cNvSpPr txBox="1">
          <a:spLocks noChangeArrowheads="1"/>
        </xdr:cNvSpPr>
      </xdr:nvSpPr>
      <xdr:spPr>
        <a:xfrm>
          <a:off x="10629900" y="2076450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59.395.791</a:t>
          </a:r>
        </a:p>
      </xdr:txBody>
    </xdr:sp>
    <xdr:clientData/>
  </xdr:oneCellAnchor>
  <xdr:oneCellAnchor>
    <xdr:from>
      <xdr:col>27</xdr:col>
      <xdr:colOff>285750</xdr:colOff>
      <xdr:row>10</xdr:row>
      <xdr:rowOff>76200</xdr:rowOff>
    </xdr:from>
    <xdr:ext cx="219075" cy="857250"/>
    <xdr:sp>
      <xdr:nvSpPr>
        <xdr:cNvPr id="157" name="TextBox 184"/>
        <xdr:cNvSpPr txBox="1">
          <a:spLocks noChangeArrowheads="1"/>
        </xdr:cNvSpPr>
      </xdr:nvSpPr>
      <xdr:spPr>
        <a:xfrm>
          <a:off x="11029950" y="2057400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61.067.142</a:t>
          </a:r>
        </a:p>
      </xdr:txBody>
    </xdr:sp>
    <xdr:clientData/>
  </xdr:oneCellAnchor>
  <xdr:oneCellAnchor>
    <xdr:from>
      <xdr:col>28</xdr:col>
      <xdr:colOff>304800</xdr:colOff>
      <xdr:row>10</xdr:row>
      <xdr:rowOff>76200</xdr:rowOff>
    </xdr:from>
    <xdr:ext cx="219075" cy="857250"/>
    <xdr:sp>
      <xdr:nvSpPr>
        <xdr:cNvPr id="158" name="TextBox 185"/>
        <xdr:cNvSpPr txBox="1">
          <a:spLocks noChangeArrowheads="1"/>
        </xdr:cNvSpPr>
      </xdr:nvSpPr>
      <xdr:spPr>
        <a:xfrm>
          <a:off x="11430000" y="2057400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62.884.288</a:t>
          </a:r>
        </a:p>
      </xdr:txBody>
    </xdr:sp>
    <xdr:clientData/>
  </xdr:oneCellAnchor>
  <xdr:oneCellAnchor>
    <xdr:from>
      <xdr:col>29</xdr:col>
      <xdr:colOff>285750</xdr:colOff>
      <xdr:row>9</xdr:row>
      <xdr:rowOff>142875</xdr:rowOff>
    </xdr:from>
    <xdr:ext cx="219075" cy="857250"/>
    <xdr:sp>
      <xdr:nvSpPr>
        <xdr:cNvPr id="159" name="TextBox 186"/>
        <xdr:cNvSpPr txBox="1">
          <a:spLocks noChangeArrowheads="1"/>
        </xdr:cNvSpPr>
      </xdr:nvSpPr>
      <xdr:spPr>
        <a:xfrm>
          <a:off x="11791950" y="1924050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64.861.700</a:t>
          </a:r>
        </a:p>
      </xdr:txBody>
    </xdr:sp>
    <xdr:clientData/>
  </xdr:oneCellAnchor>
  <xdr:oneCellAnchor>
    <xdr:from>
      <xdr:col>30</xdr:col>
      <xdr:colOff>304800</xdr:colOff>
      <xdr:row>9</xdr:row>
      <xdr:rowOff>76200</xdr:rowOff>
    </xdr:from>
    <xdr:ext cx="219075" cy="857250"/>
    <xdr:sp>
      <xdr:nvSpPr>
        <xdr:cNvPr id="160" name="TextBox 188"/>
        <xdr:cNvSpPr txBox="1">
          <a:spLocks noChangeArrowheads="1"/>
        </xdr:cNvSpPr>
      </xdr:nvSpPr>
      <xdr:spPr>
        <a:xfrm>
          <a:off x="12192000" y="1857375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67.015.299</a:t>
          </a:r>
        </a:p>
      </xdr:txBody>
    </xdr:sp>
    <xdr:clientData/>
  </xdr:oneCellAnchor>
  <xdr:oneCellAnchor>
    <xdr:from>
      <xdr:col>31</xdr:col>
      <xdr:colOff>266700</xdr:colOff>
      <xdr:row>9</xdr:row>
      <xdr:rowOff>0</xdr:rowOff>
    </xdr:from>
    <xdr:ext cx="219075" cy="857250"/>
    <xdr:sp>
      <xdr:nvSpPr>
        <xdr:cNvPr id="161" name="TextBox 189"/>
        <xdr:cNvSpPr txBox="1">
          <a:spLocks noChangeArrowheads="1"/>
        </xdr:cNvSpPr>
      </xdr:nvSpPr>
      <xdr:spPr>
        <a:xfrm>
          <a:off x="12534900" y="1781175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69.362.594</a:t>
          </a:r>
        </a:p>
      </xdr:txBody>
    </xdr:sp>
    <xdr:clientData/>
  </xdr:oneCellAnchor>
  <xdr:oneCellAnchor>
    <xdr:from>
      <xdr:col>32</xdr:col>
      <xdr:colOff>266700</xdr:colOff>
      <xdr:row>8</xdr:row>
      <xdr:rowOff>66675</xdr:rowOff>
    </xdr:from>
    <xdr:ext cx="219075" cy="857250"/>
    <xdr:sp>
      <xdr:nvSpPr>
        <xdr:cNvPr id="162" name="TextBox 190"/>
        <xdr:cNvSpPr txBox="1">
          <a:spLocks noChangeArrowheads="1"/>
        </xdr:cNvSpPr>
      </xdr:nvSpPr>
      <xdr:spPr>
        <a:xfrm>
          <a:off x="12915900" y="1647825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71.922.847</a:t>
          </a:r>
        </a:p>
      </xdr:txBody>
    </xdr:sp>
    <xdr:clientData/>
  </xdr:oneCellAnchor>
  <xdr:oneCellAnchor>
    <xdr:from>
      <xdr:col>34</xdr:col>
      <xdr:colOff>304800</xdr:colOff>
      <xdr:row>7</xdr:row>
      <xdr:rowOff>19050</xdr:rowOff>
    </xdr:from>
    <xdr:ext cx="219075" cy="857250"/>
    <xdr:sp>
      <xdr:nvSpPr>
        <xdr:cNvPr id="163" name="TextBox 191"/>
        <xdr:cNvSpPr txBox="1">
          <a:spLocks noChangeArrowheads="1"/>
        </xdr:cNvSpPr>
      </xdr:nvSpPr>
      <xdr:spPr>
        <a:xfrm>
          <a:off x="13716000" y="1400175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77.769.097</a:t>
          </a:r>
        </a:p>
      </xdr:txBody>
    </xdr:sp>
    <xdr:clientData/>
  </xdr:oneCellAnchor>
  <xdr:oneCellAnchor>
    <xdr:from>
      <xdr:col>36</xdr:col>
      <xdr:colOff>304800</xdr:colOff>
      <xdr:row>6</xdr:row>
      <xdr:rowOff>66675</xdr:rowOff>
    </xdr:from>
    <xdr:ext cx="219075" cy="857250"/>
    <xdr:sp>
      <xdr:nvSpPr>
        <xdr:cNvPr id="164" name="TextBox 192"/>
        <xdr:cNvSpPr txBox="1">
          <a:spLocks noChangeArrowheads="1"/>
        </xdr:cNvSpPr>
      </xdr:nvSpPr>
      <xdr:spPr>
        <a:xfrm>
          <a:off x="14478000" y="1247775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84.750.250</a:t>
          </a:r>
        </a:p>
      </xdr:txBody>
    </xdr:sp>
    <xdr:clientData/>
  </xdr:oneCellAnchor>
  <xdr:oneCellAnchor>
    <xdr:from>
      <xdr:col>37</xdr:col>
      <xdr:colOff>304800</xdr:colOff>
      <xdr:row>5</xdr:row>
      <xdr:rowOff>66675</xdr:rowOff>
    </xdr:from>
    <xdr:ext cx="219075" cy="857250"/>
    <xdr:sp>
      <xdr:nvSpPr>
        <xdr:cNvPr id="165" name="TextBox 193"/>
        <xdr:cNvSpPr txBox="1">
          <a:spLocks noChangeArrowheads="1"/>
        </xdr:cNvSpPr>
      </xdr:nvSpPr>
      <xdr:spPr>
        <a:xfrm>
          <a:off x="14859000" y="1047750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88.738.770</a:t>
          </a:r>
        </a:p>
      </xdr:txBody>
    </xdr:sp>
    <xdr:clientData/>
  </xdr:oneCellAnchor>
  <xdr:oneCellAnchor>
    <xdr:from>
      <xdr:col>38</xdr:col>
      <xdr:colOff>304800</xdr:colOff>
      <xdr:row>5</xdr:row>
      <xdr:rowOff>19050</xdr:rowOff>
    </xdr:from>
    <xdr:ext cx="219075" cy="857250"/>
    <xdr:sp>
      <xdr:nvSpPr>
        <xdr:cNvPr id="166" name="TextBox 194"/>
        <xdr:cNvSpPr txBox="1">
          <a:spLocks noChangeArrowheads="1"/>
        </xdr:cNvSpPr>
      </xdr:nvSpPr>
      <xdr:spPr>
        <a:xfrm>
          <a:off x="15240000" y="1000125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93.103.709</a:t>
          </a:r>
        </a:p>
      </xdr:txBody>
    </xdr:sp>
    <xdr:clientData/>
  </xdr:oneCellAnchor>
  <xdr:oneCellAnchor>
    <xdr:from>
      <xdr:col>39</xdr:col>
      <xdr:colOff>304800</xdr:colOff>
      <xdr:row>4</xdr:row>
      <xdr:rowOff>114300</xdr:rowOff>
    </xdr:from>
    <xdr:ext cx="219075" cy="857250"/>
    <xdr:sp>
      <xdr:nvSpPr>
        <xdr:cNvPr id="167" name="TextBox 195"/>
        <xdr:cNvSpPr txBox="1">
          <a:spLocks noChangeArrowheads="1"/>
        </xdr:cNvSpPr>
      </xdr:nvSpPr>
      <xdr:spPr>
        <a:xfrm>
          <a:off x="15621000" y="895350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97.882.597</a:t>
          </a:r>
        </a:p>
      </xdr:txBody>
    </xdr:sp>
    <xdr:clientData/>
  </xdr:oneCellAnchor>
  <xdr:oneCellAnchor>
    <xdr:from>
      <xdr:col>40</xdr:col>
      <xdr:colOff>304800</xdr:colOff>
      <xdr:row>4</xdr:row>
      <xdr:rowOff>66675</xdr:rowOff>
    </xdr:from>
    <xdr:ext cx="219075" cy="923925"/>
    <xdr:sp>
      <xdr:nvSpPr>
        <xdr:cNvPr id="168" name="TextBox 196"/>
        <xdr:cNvSpPr txBox="1">
          <a:spLocks noChangeArrowheads="1"/>
        </xdr:cNvSpPr>
      </xdr:nvSpPr>
      <xdr:spPr>
        <a:xfrm>
          <a:off x="16002000" y="847725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103.116.718</a:t>
          </a:r>
        </a:p>
      </xdr:txBody>
    </xdr:sp>
    <xdr:clientData/>
  </xdr:oneCellAnchor>
  <xdr:oneCellAnchor>
    <xdr:from>
      <xdr:col>41</xdr:col>
      <xdr:colOff>304800</xdr:colOff>
      <xdr:row>3</xdr:row>
      <xdr:rowOff>114300</xdr:rowOff>
    </xdr:from>
    <xdr:ext cx="219075" cy="923925"/>
    <xdr:sp>
      <xdr:nvSpPr>
        <xdr:cNvPr id="169" name="TextBox 197"/>
        <xdr:cNvSpPr txBox="1">
          <a:spLocks noChangeArrowheads="1"/>
        </xdr:cNvSpPr>
      </xdr:nvSpPr>
      <xdr:spPr>
        <a:xfrm>
          <a:off x="16383000" y="68580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108.851.478</a:t>
          </a:r>
        </a:p>
      </xdr:txBody>
    </xdr:sp>
    <xdr:clientData/>
  </xdr:oneCellAnchor>
  <xdr:oneCellAnchor>
    <xdr:from>
      <xdr:col>42</xdr:col>
      <xdr:colOff>304800</xdr:colOff>
      <xdr:row>3</xdr:row>
      <xdr:rowOff>19050</xdr:rowOff>
    </xdr:from>
    <xdr:ext cx="219075" cy="923925"/>
    <xdr:sp>
      <xdr:nvSpPr>
        <xdr:cNvPr id="170" name="TextBox 198"/>
        <xdr:cNvSpPr txBox="1">
          <a:spLocks noChangeArrowheads="1"/>
        </xdr:cNvSpPr>
      </xdr:nvSpPr>
      <xdr:spPr>
        <a:xfrm>
          <a:off x="16764000" y="59055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115.136.831</a:t>
          </a:r>
        </a:p>
      </xdr:txBody>
    </xdr:sp>
    <xdr:clientData/>
  </xdr:oneCellAnchor>
  <xdr:twoCellAnchor>
    <xdr:from>
      <xdr:col>43</xdr:col>
      <xdr:colOff>0</xdr:colOff>
      <xdr:row>9</xdr:row>
      <xdr:rowOff>9525</xdr:rowOff>
    </xdr:from>
    <xdr:to>
      <xdr:col>43</xdr:col>
      <xdr:colOff>0</xdr:colOff>
      <xdr:row>17</xdr:row>
      <xdr:rowOff>9525</xdr:rowOff>
    </xdr:to>
    <xdr:sp>
      <xdr:nvSpPr>
        <xdr:cNvPr id="171" name="Line 208"/>
        <xdr:cNvSpPr>
          <a:spLocks/>
        </xdr:cNvSpPr>
      </xdr:nvSpPr>
      <xdr:spPr>
        <a:xfrm flipV="1">
          <a:off x="16840200" y="179070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35</xdr:col>
      <xdr:colOff>266700</xdr:colOff>
      <xdr:row>6</xdr:row>
      <xdr:rowOff>114300</xdr:rowOff>
    </xdr:from>
    <xdr:ext cx="219075" cy="857250"/>
    <xdr:sp>
      <xdr:nvSpPr>
        <xdr:cNvPr id="172" name="TextBox 209"/>
        <xdr:cNvSpPr txBox="1">
          <a:spLocks noChangeArrowheads="1"/>
        </xdr:cNvSpPr>
      </xdr:nvSpPr>
      <xdr:spPr>
        <a:xfrm>
          <a:off x="14058900" y="1295400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81.104.031</a:t>
          </a:r>
        </a:p>
      </xdr:txBody>
    </xdr:sp>
    <xdr:clientData/>
  </xdr:oneCellAnchor>
  <xdr:oneCellAnchor>
    <xdr:from>
      <xdr:col>38</xdr:col>
      <xdr:colOff>257175</xdr:colOff>
      <xdr:row>26</xdr:row>
      <xdr:rowOff>66675</xdr:rowOff>
    </xdr:from>
    <xdr:ext cx="219075" cy="923925"/>
    <xdr:sp>
      <xdr:nvSpPr>
        <xdr:cNvPr id="173" name="TextBox 210"/>
        <xdr:cNvSpPr txBox="1">
          <a:spLocks noChangeArrowheads="1"/>
        </xdr:cNvSpPr>
      </xdr:nvSpPr>
      <xdr:spPr>
        <a:xfrm>
          <a:off x="15192375" y="5257800"/>
          <a:ext cx="219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454.038.930</a:t>
          </a:r>
        </a:p>
      </xdr:txBody>
    </xdr:sp>
    <xdr:clientData/>
  </xdr:oneCellAnchor>
  <xdr:oneCellAnchor>
    <xdr:from>
      <xdr:col>33</xdr:col>
      <xdr:colOff>285750</xdr:colOff>
      <xdr:row>8</xdr:row>
      <xdr:rowOff>0</xdr:rowOff>
    </xdr:from>
    <xdr:ext cx="219075" cy="857250"/>
    <xdr:sp>
      <xdr:nvSpPr>
        <xdr:cNvPr id="174" name="TextBox 211"/>
        <xdr:cNvSpPr txBox="1">
          <a:spLocks noChangeArrowheads="1"/>
        </xdr:cNvSpPr>
      </xdr:nvSpPr>
      <xdr:spPr>
        <a:xfrm>
          <a:off x="13315950" y="1581150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74.717.246</a:t>
          </a:r>
        </a:p>
      </xdr:txBody>
    </xdr:sp>
    <xdr:clientData/>
  </xdr:oneCellAnchor>
  <xdr:oneCellAnchor>
    <xdr:from>
      <xdr:col>1</xdr:col>
      <xdr:colOff>285750</xdr:colOff>
      <xdr:row>18</xdr:row>
      <xdr:rowOff>28575</xdr:rowOff>
    </xdr:from>
    <xdr:ext cx="57150" cy="219075"/>
    <xdr:sp>
      <xdr:nvSpPr>
        <xdr:cNvPr id="175" name="TextBox 213"/>
        <xdr:cNvSpPr txBox="1">
          <a:spLocks noChangeArrowheads="1"/>
        </xdr:cNvSpPr>
      </xdr:nvSpPr>
      <xdr:spPr>
        <a:xfrm>
          <a:off x="666750" y="36099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285750</xdr:colOff>
      <xdr:row>18</xdr:row>
      <xdr:rowOff>0</xdr:rowOff>
    </xdr:from>
    <xdr:ext cx="219075" cy="857250"/>
    <xdr:sp>
      <xdr:nvSpPr>
        <xdr:cNvPr id="176" name="TextBox 214"/>
        <xdr:cNvSpPr txBox="1">
          <a:spLocks noChangeArrowheads="1"/>
        </xdr:cNvSpPr>
      </xdr:nvSpPr>
      <xdr:spPr>
        <a:xfrm>
          <a:off x="666750" y="3581400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 55.459.435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4">
      <selection activeCell="A29" sqref="A29:I29"/>
    </sheetView>
  </sheetViews>
  <sheetFormatPr defaultColWidth="9.140625" defaultRowHeight="12.75"/>
  <cols>
    <col min="1" max="8" width="9.140625" style="1" customWidth="1"/>
    <col min="9" max="9" width="15.8515625" style="1" customWidth="1"/>
    <col min="10" max="21" width="9.140625" style="1" customWidth="1"/>
    <col min="22" max="22" width="14.57421875" style="1" bestFit="1" customWidth="1"/>
    <col min="23" max="16384" width="9.140625" style="1" customWidth="1"/>
  </cols>
  <sheetData>
    <row r="1" spans="1:2" ht="15.75">
      <c r="A1" s="7" t="s">
        <v>135</v>
      </c>
      <c r="B1" s="7" t="s">
        <v>93</v>
      </c>
    </row>
    <row r="3" spans="1:14" ht="15.75">
      <c r="A3" s="1" t="s">
        <v>89</v>
      </c>
      <c r="N3" s="1" t="s">
        <v>65</v>
      </c>
    </row>
    <row r="5" spans="1:14" ht="15.75">
      <c r="A5" s="1" t="s">
        <v>0</v>
      </c>
      <c r="N5" s="1" t="s">
        <v>0</v>
      </c>
    </row>
    <row r="6" spans="1:22" ht="15.75">
      <c r="A6" s="2">
        <v>1</v>
      </c>
      <c r="B6" s="1" t="s">
        <v>1</v>
      </c>
      <c r="E6" s="1" t="s">
        <v>96</v>
      </c>
      <c r="I6" s="3">
        <f>11*750000</f>
        <v>8250000</v>
      </c>
      <c r="N6" s="2">
        <v>1</v>
      </c>
      <c r="O6" s="1" t="s">
        <v>1</v>
      </c>
      <c r="R6" s="1" t="s">
        <v>97</v>
      </c>
      <c r="V6" s="3">
        <f>9*750000</f>
        <v>6750000</v>
      </c>
    </row>
    <row r="7" spans="1:22" ht="15.75">
      <c r="A7" s="2">
        <v>2</v>
      </c>
      <c r="B7" s="1" t="s">
        <v>2</v>
      </c>
      <c r="E7" s="1" t="s">
        <v>70</v>
      </c>
      <c r="I7" s="3">
        <f>2*50000</f>
        <v>100000</v>
      </c>
      <c r="N7" s="2">
        <v>2</v>
      </c>
      <c r="O7" s="1" t="s">
        <v>2</v>
      </c>
      <c r="R7" s="1" t="s">
        <v>70</v>
      </c>
      <c r="V7" s="3">
        <f>2*50000</f>
        <v>100000</v>
      </c>
    </row>
    <row r="8" spans="1:22" ht="16.5" thickBot="1">
      <c r="A8" s="2">
        <v>3</v>
      </c>
      <c r="B8" s="1" t="s">
        <v>3</v>
      </c>
      <c r="E8" s="1" t="s">
        <v>71</v>
      </c>
      <c r="I8" s="4">
        <f>11*20000</f>
        <v>220000</v>
      </c>
      <c r="N8" s="2">
        <v>3</v>
      </c>
      <c r="O8" s="1" t="s">
        <v>3</v>
      </c>
      <c r="R8" s="1" t="s">
        <v>88</v>
      </c>
      <c r="V8" s="4">
        <f>9*20000</f>
        <v>180000</v>
      </c>
    </row>
    <row r="9" spans="2:22" ht="15.75">
      <c r="B9" s="1" t="s">
        <v>4</v>
      </c>
      <c r="I9" s="5">
        <f>SUM(I6:I8)</f>
        <v>8570000</v>
      </c>
      <c r="O9" s="1" t="s">
        <v>4</v>
      </c>
      <c r="V9" s="5">
        <f>SUM(V6:V8)</f>
        <v>7030000</v>
      </c>
    </row>
    <row r="10" spans="9:22" ht="15.75">
      <c r="I10" s="3"/>
      <c r="V10" s="3"/>
    </row>
    <row r="11" spans="1:22" ht="15.75">
      <c r="A11" s="1" t="s">
        <v>5</v>
      </c>
      <c r="I11" s="3"/>
      <c r="N11" s="1" t="s">
        <v>5</v>
      </c>
      <c r="V11" s="3"/>
    </row>
    <row r="12" spans="1:22" ht="15.75">
      <c r="A12" s="2">
        <v>1</v>
      </c>
      <c r="B12" s="1" t="s">
        <v>6</v>
      </c>
      <c r="I12" s="3">
        <v>300000</v>
      </c>
      <c r="N12" s="2">
        <v>1</v>
      </c>
      <c r="O12" s="1" t="s">
        <v>6</v>
      </c>
      <c r="V12" s="3">
        <v>300000</v>
      </c>
    </row>
    <row r="13" spans="1:22" ht="15.75">
      <c r="A13" s="2">
        <v>2</v>
      </c>
      <c r="B13" s="1" t="s">
        <v>7</v>
      </c>
      <c r="I13" s="3">
        <v>150000</v>
      </c>
      <c r="N13" s="2">
        <v>2</v>
      </c>
      <c r="O13" s="1" t="s">
        <v>7</v>
      </c>
      <c r="V13" s="3">
        <v>150000</v>
      </c>
    </row>
    <row r="14" spans="1:22" ht="15.75">
      <c r="A14" s="2">
        <v>3</v>
      </c>
      <c r="B14" s="1" t="s">
        <v>8</v>
      </c>
      <c r="I14" s="3">
        <v>50000</v>
      </c>
      <c r="N14" s="2">
        <v>3</v>
      </c>
      <c r="O14" s="1" t="s">
        <v>8</v>
      </c>
      <c r="V14" s="3">
        <v>50000</v>
      </c>
    </row>
    <row r="15" spans="1:22" ht="15.75">
      <c r="A15" s="2">
        <v>4</v>
      </c>
      <c r="B15" s="1" t="s">
        <v>9</v>
      </c>
      <c r="E15" s="1" t="s">
        <v>14</v>
      </c>
      <c r="I15" s="3">
        <f>75*3500</f>
        <v>262500</v>
      </c>
      <c r="N15" s="2">
        <v>4</v>
      </c>
      <c r="O15" s="1" t="s">
        <v>9</v>
      </c>
      <c r="R15" s="1" t="s">
        <v>14</v>
      </c>
      <c r="V15" s="3">
        <f>75*3500</f>
        <v>262500</v>
      </c>
    </row>
    <row r="16" spans="1:22" ht="15.75">
      <c r="A16" s="2">
        <v>5</v>
      </c>
      <c r="B16" s="1" t="s">
        <v>10</v>
      </c>
      <c r="E16" s="1" t="s">
        <v>15</v>
      </c>
      <c r="I16" s="3">
        <f>32400*2</f>
        <v>64800</v>
      </c>
      <c r="N16" s="2">
        <v>5</v>
      </c>
      <c r="O16" s="1" t="s">
        <v>10</v>
      </c>
      <c r="R16" s="1" t="s">
        <v>15</v>
      </c>
      <c r="V16" s="3">
        <f>32400*2</f>
        <v>64800</v>
      </c>
    </row>
    <row r="17" spans="1:22" ht="15.75">
      <c r="A17" s="2">
        <v>6</v>
      </c>
      <c r="B17" s="1" t="s">
        <v>90</v>
      </c>
      <c r="I17" s="3">
        <v>500000</v>
      </c>
      <c r="N17" s="2">
        <v>6</v>
      </c>
      <c r="O17" s="1" t="s">
        <v>90</v>
      </c>
      <c r="V17" s="3">
        <v>500000</v>
      </c>
    </row>
    <row r="18" spans="1:22" ht="15.75">
      <c r="A18" s="2">
        <v>7</v>
      </c>
      <c r="B18" s="1" t="s">
        <v>11</v>
      </c>
      <c r="I18" s="3">
        <v>50000</v>
      </c>
      <c r="N18" s="2">
        <v>7</v>
      </c>
      <c r="O18" s="1" t="s">
        <v>11</v>
      </c>
      <c r="V18" s="3">
        <v>50000</v>
      </c>
    </row>
    <row r="19" spans="1:22" ht="15.75">
      <c r="A19" s="2">
        <v>8</v>
      </c>
      <c r="B19" s="1" t="s">
        <v>12</v>
      </c>
      <c r="E19" s="1" t="s">
        <v>16</v>
      </c>
      <c r="I19" s="3">
        <f>3*200000</f>
        <v>600000</v>
      </c>
      <c r="N19" s="2">
        <v>8</v>
      </c>
      <c r="O19" s="1" t="s">
        <v>12</v>
      </c>
      <c r="R19" s="1" t="s">
        <v>16</v>
      </c>
      <c r="V19" s="3">
        <f>3*200000</f>
        <v>600000</v>
      </c>
    </row>
    <row r="20" spans="1:22" ht="16.5" thickBot="1">
      <c r="A20" s="2">
        <v>9</v>
      </c>
      <c r="B20" s="1" t="s">
        <v>13</v>
      </c>
      <c r="I20" s="4">
        <v>1945343</v>
      </c>
      <c r="N20" s="2">
        <v>9</v>
      </c>
      <c r="O20" s="1" t="s">
        <v>13</v>
      </c>
      <c r="V20" s="4">
        <v>1945343</v>
      </c>
    </row>
    <row r="21" spans="9:22" ht="15.75">
      <c r="I21" s="6">
        <f>SUM(I12:I20)</f>
        <v>3922643</v>
      </c>
      <c r="V21" s="6">
        <f>SUM(V12:V20)</f>
        <v>3922643</v>
      </c>
    </row>
    <row r="22" ht="15.75">
      <c r="I22" s="3"/>
    </row>
    <row r="23" spans="1:9" ht="15.75">
      <c r="A23" s="1" t="s">
        <v>59</v>
      </c>
      <c r="I23" s="3"/>
    </row>
    <row r="24" ht="15.75">
      <c r="A24" s="1" t="s">
        <v>61</v>
      </c>
    </row>
    <row r="25" ht="15.75">
      <c r="A25" s="1" t="s">
        <v>60</v>
      </c>
    </row>
    <row r="26" ht="15.75">
      <c r="A26" s="1" t="s">
        <v>63</v>
      </c>
    </row>
    <row r="29" spans="1:13" ht="15.75">
      <c r="A29" s="66" t="s">
        <v>94</v>
      </c>
      <c r="B29" s="66"/>
      <c r="C29" s="66"/>
      <c r="D29" s="66"/>
      <c r="E29" s="66"/>
      <c r="F29" s="66"/>
      <c r="G29" s="66"/>
      <c r="H29" s="66"/>
      <c r="I29" s="66"/>
      <c r="J29" s="39"/>
      <c r="K29" s="39"/>
      <c r="L29" s="39"/>
      <c r="M29" s="39"/>
    </row>
    <row r="31" spans="1:14" ht="15.75">
      <c r="A31" s="1" t="s">
        <v>64</v>
      </c>
      <c r="N31" s="1" t="s">
        <v>66</v>
      </c>
    </row>
    <row r="33" spans="1:14" ht="15.75">
      <c r="A33" s="1" t="s">
        <v>0</v>
      </c>
      <c r="N33" s="1" t="s">
        <v>0</v>
      </c>
    </row>
    <row r="34" spans="1:22" ht="15.75">
      <c r="A34" s="2">
        <v>1</v>
      </c>
      <c r="B34" s="1" t="s">
        <v>1</v>
      </c>
      <c r="E34" s="1" t="s">
        <v>99</v>
      </c>
      <c r="I34" s="3">
        <f>10*750000</f>
        <v>7500000</v>
      </c>
      <c r="N34" s="2">
        <v>1</v>
      </c>
      <c r="O34" s="1" t="s">
        <v>1</v>
      </c>
      <c r="R34" s="1" t="s">
        <v>98</v>
      </c>
      <c r="V34" s="3">
        <f>8*750000</f>
        <v>6000000</v>
      </c>
    </row>
    <row r="35" spans="1:22" ht="15.75">
      <c r="A35" s="2">
        <v>2</v>
      </c>
      <c r="B35" s="1" t="s">
        <v>2</v>
      </c>
      <c r="E35" s="1" t="s">
        <v>70</v>
      </c>
      <c r="I35" s="3">
        <f>2*50000</f>
        <v>100000</v>
      </c>
      <c r="N35" s="2">
        <v>2</v>
      </c>
      <c r="O35" s="1" t="s">
        <v>2</v>
      </c>
      <c r="R35" s="1" t="s">
        <v>70</v>
      </c>
      <c r="V35" s="3">
        <f>2*50000</f>
        <v>100000</v>
      </c>
    </row>
    <row r="36" spans="1:22" ht="16.5" thickBot="1">
      <c r="A36" s="2">
        <v>3</v>
      </c>
      <c r="B36" s="1" t="s">
        <v>3</v>
      </c>
      <c r="E36" s="1" t="s">
        <v>86</v>
      </c>
      <c r="I36" s="4">
        <f>10*20000</f>
        <v>200000</v>
      </c>
      <c r="N36" s="2">
        <v>3</v>
      </c>
      <c r="O36" s="1" t="s">
        <v>3</v>
      </c>
      <c r="R36" s="1" t="s">
        <v>87</v>
      </c>
      <c r="V36" s="4">
        <f>8*20000</f>
        <v>160000</v>
      </c>
    </row>
    <row r="37" spans="2:22" ht="15.75">
      <c r="B37" s="1" t="s">
        <v>4</v>
      </c>
      <c r="I37" s="5">
        <f>SUM(I34:I36)</f>
        <v>7800000</v>
      </c>
      <c r="O37" s="1" t="s">
        <v>4</v>
      </c>
      <c r="V37" s="5">
        <f>SUM(V34:V36)</f>
        <v>6260000</v>
      </c>
    </row>
    <row r="38" spans="9:22" ht="15.75">
      <c r="I38" s="3"/>
      <c r="V38" s="3"/>
    </row>
    <row r="39" spans="1:22" ht="15.75">
      <c r="A39" s="1" t="s">
        <v>5</v>
      </c>
      <c r="I39" s="3"/>
      <c r="N39" s="1" t="s">
        <v>5</v>
      </c>
      <c r="V39" s="3"/>
    </row>
    <row r="40" spans="1:22" ht="15.75">
      <c r="A40" s="2">
        <v>1</v>
      </c>
      <c r="B40" s="1" t="s">
        <v>6</v>
      </c>
      <c r="I40" s="3">
        <v>300000</v>
      </c>
      <c r="N40" s="2">
        <v>1</v>
      </c>
      <c r="O40" s="1" t="s">
        <v>6</v>
      </c>
      <c r="V40" s="3">
        <v>300000</v>
      </c>
    </row>
    <row r="41" spans="1:22" ht="15.75">
      <c r="A41" s="2">
        <v>2</v>
      </c>
      <c r="B41" s="1" t="s">
        <v>7</v>
      </c>
      <c r="I41" s="3">
        <v>150000</v>
      </c>
      <c r="N41" s="2">
        <v>2</v>
      </c>
      <c r="O41" s="1" t="s">
        <v>7</v>
      </c>
      <c r="V41" s="3">
        <v>150000</v>
      </c>
    </row>
    <row r="42" spans="1:22" ht="15.75">
      <c r="A42" s="2">
        <v>3</v>
      </c>
      <c r="B42" s="1" t="s">
        <v>8</v>
      </c>
      <c r="I42" s="3">
        <v>50000</v>
      </c>
      <c r="N42" s="2">
        <v>3</v>
      </c>
      <c r="O42" s="1" t="s">
        <v>8</v>
      </c>
      <c r="V42" s="3">
        <v>50000</v>
      </c>
    </row>
    <row r="43" spans="1:22" ht="15.75">
      <c r="A43" s="2">
        <v>4</v>
      </c>
      <c r="B43" s="1" t="s">
        <v>9</v>
      </c>
      <c r="E43" s="1" t="s">
        <v>14</v>
      </c>
      <c r="I43" s="3">
        <f>75*3500</f>
        <v>262500</v>
      </c>
      <c r="N43" s="2">
        <v>4</v>
      </c>
      <c r="O43" s="1" t="s">
        <v>9</v>
      </c>
      <c r="R43" s="1" t="s">
        <v>14</v>
      </c>
      <c r="V43" s="3">
        <f>75*3500</f>
        <v>262500</v>
      </c>
    </row>
    <row r="44" spans="1:22" ht="15.75">
      <c r="A44" s="2">
        <v>5</v>
      </c>
      <c r="B44" s="1" t="s">
        <v>10</v>
      </c>
      <c r="E44" s="1" t="s">
        <v>15</v>
      </c>
      <c r="I44" s="3">
        <f>32400*2</f>
        <v>64800</v>
      </c>
      <c r="N44" s="2">
        <v>5</v>
      </c>
      <c r="O44" s="1" t="s">
        <v>10</v>
      </c>
      <c r="R44" s="1" t="s">
        <v>15</v>
      </c>
      <c r="V44" s="3">
        <f>32400*2</f>
        <v>64800</v>
      </c>
    </row>
    <row r="45" spans="1:22" ht="15.75">
      <c r="A45" s="2">
        <v>6</v>
      </c>
      <c r="B45" s="1" t="s">
        <v>90</v>
      </c>
      <c r="I45" s="3">
        <v>500000</v>
      </c>
      <c r="N45" s="2">
        <v>6</v>
      </c>
      <c r="O45" s="1" t="s">
        <v>90</v>
      </c>
      <c r="V45" s="3">
        <v>500000</v>
      </c>
    </row>
    <row r="46" spans="1:22" ht="15.75">
      <c r="A46" s="2">
        <v>7</v>
      </c>
      <c r="B46" s="1" t="s">
        <v>11</v>
      </c>
      <c r="I46" s="3">
        <v>50000</v>
      </c>
      <c r="N46" s="2">
        <v>7</v>
      </c>
      <c r="O46" s="1" t="s">
        <v>11</v>
      </c>
      <c r="V46" s="3">
        <v>50000</v>
      </c>
    </row>
    <row r="47" spans="1:22" ht="15.75">
      <c r="A47" s="2">
        <v>8</v>
      </c>
      <c r="B47" s="1" t="s">
        <v>12</v>
      </c>
      <c r="E47" s="1" t="s">
        <v>16</v>
      </c>
      <c r="I47" s="3">
        <f>3*200000</f>
        <v>600000</v>
      </c>
      <c r="N47" s="2">
        <v>8</v>
      </c>
      <c r="O47" s="1" t="s">
        <v>12</v>
      </c>
      <c r="R47" s="1" t="s">
        <v>16</v>
      </c>
      <c r="V47" s="3">
        <f>3*200000</f>
        <v>600000</v>
      </c>
    </row>
    <row r="48" spans="1:22" ht="16.5" thickBot="1">
      <c r="A48" s="2">
        <v>9</v>
      </c>
      <c r="B48" s="1" t="s">
        <v>13</v>
      </c>
      <c r="I48" s="4">
        <v>1945343</v>
      </c>
      <c r="N48" s="2">
        <v>9</v>
      </c>
      <c r="O48" s="1" t="s">
        <v>13</v>
      </c>
      <c r="V48" s="4">
        <v>1945343</v>
      </c>
    </row>
    <row r="49" spans="9:22" ht="15.75">
      <c r="I49" s="6">
        <f>SUM(I40:I48)</f>
        <v>3922643</v>
      </c>
      <c r="V49" s="6">
        <f>SUM(V40:V48)</f>
        <v>3922643</v>
      </c>
    </row>
    <row r="51" ht="15.75">
      <c r="A51" s="1" t="s">
        <v>59</v>
      </c>
    </row>
    <row r="52" ht="15.75">
      <c r="A52" s="1" t="s">
        <v>61</v>
      </c>
    </row>
    <row r="53" ht="15.75">
      <c r="A53" s="1" t="s">
        <v>60</v>
      </c>
    </row>
    <row r="54" ht="15.75">
      <c r="A54" s="1" t="s">
        <v>63</v>
      </c>
    </row>
  </sheetData>
  <mergeCells count="1">
    <mergeCell ref="A29:I29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9"/>
  <sheetViews>
    <sheetView workbookViewId="0" topLeftCell="A9">
      <selection activeCell="A16" sqref="A16"/>
    </sheetView>
  </sheetViews>
  <sheetFormatPr defaultColWidth="9.140625" defaultRowHeight="12.75"/>
  <cols>
    <col min="1" max="1" width="31.28125" style="1" customWidth="1"/>
    <col min="2" max="2" width="19.28125" style="1" customWidth="1"/>
    <col min="3" max="6" width="19.140625" style="1" bestFit="1" customWidth="1"/>
    <col min="7" max="7" width="28.00390625" style="1" customWidth="1"/>
    <col min="8" max="8" width="19.140625" style="1" bestFit="1" customWidth="1"/>
    <col min="9" max="9" width="17.421875" style="1" bestFit="1" customWidth="1"/>
    <col min="10" max="10" width="18.7109375" style="1" bestFit="1" customWidth="1"/>
    <col min="11" max="12" width="18.00390625" style="1" bestFit="1" customWidth="1"/>
    <col min="13" max="13" width="28.00390625" style="1" customWidth="1"/>
    <col min="14" max="15" width="18.00390625" style="1" bestFit="1" customWidth="1"/>
    <col min="16" max="16" width="18.7109375" style="1" customWidth="1"/>
    <col min="17" max="17" width="19.421875" style="1" customWidth="1"/>
    <col min="18" max="18" width="18.00390625" style="1" bestFit="1" customWidth="1"/>
    <col min="19" max="19" width="28.00390625" style="1" customWidth="1"/>
    <col min="20" max="20" width="18.00390625" style="1" bestFit="1" customWidth="1"/>
    <col min="21" max="22" width="19.8515625" style="1" bestFit="1" customWidth="1"/>
    <col min="23" max="25" width="20.00390625" style="1" bestFit="1" customWidth="1"/>
    <col min="26" max="26" width="18.421875" style="1" bestFit="1" customWidth="1"/>
    <col min="27" max="16384" width="9.140625" style="1" customWidth="1"/>
  </cols>
  <sheetData>
    <row r="1" ht="15.75">
      <c r="A1" s="7" t="s">
        <v>136</v>
      </c>
    </row>
    <row r="3" spans="1:8" ht="15.75">
      <c r="A3" s="67" t="s">
        <v>137</v>
      </c>
      <c r="B3" s="67"/>
      <c r="C3" s="67"/>
      <c r="D3" s="67"/>
      <c r="E3" s="67"/>
      <c r="F3" s="67"/>
      <c r="G3" s="32"/>
      <c r="H3" s="32"/>
    </row>
    <row r="5" spans="1:25" ht="15.75">
      <c r="A5" s="9" t="s">
        <v>17</v>
      </c>
      <c r="B5" s="10">
        <v>0</v>
      </c>
      <c r="C5" s="10">
        <v>1</v>
      </c>
      <c r="D5" s="10">
        <v>2</v>
      </c>
      <c r="E5" s="10">
        <v>3</v>
      </c>
      <c r="F5" s="10">
        <v>4</v>
      </c>
      <c r="G5" s="9" t="s">
        <v>17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9" t="s">
        <v>17</v>
      </c>
      <c r="N5" s="10">
        <v>10</v>
      </c>
      <c r="O5" s="10">
        <v>11</v>
      </c>
      <c r="P5" s="10">
        <v>12</v>
      </c>
      <c r="Q5" s="10">
        <v>13</v>
      </c>
      <c r="R5" s="10">
        <v>14</v>
      </c>
      <c r="S5" s="9" t="s">
        <v>17</v>
      </c>
      <c r="T5" s="10">
        <v>15</v>
      </c>
      <c r="U5" s="10">
        <v>16</v>
      </c>
      <c r="V5" s="10">
        <v>17</v>
      </c>
      <c r="W5" s="10">
        <v>18</v>
      </c>
      <c r="X5" s="10">
        <v>19</v>
      </c>
      <c r="Y5" s="10">
        <v>20</v>
      </c>
    </row>
    <row r="6" spans="1:25" ht="15.75">
      <c r="A6" s="11" t="s">
        <v>18</v>
      </c>
      <c r="B6" s="15"/>
      <c r="C6" s="15">
        <f aca="true" t="shared" si="0" ref="C6:Y6">B19</f>
        <v>-838132234</v>
      </c>
      <c r="D6" s="15">
        <f t="shared" si="0"/>
        <v>-776510640</v>
      </c>
      <c r="E6" s="15">
        <f t="shared" si="0"/>
        <v>-706373300.8</v>
      </c>
      <c r="F6" s="15">
        <f t="shared" si="0"/>
        <v>-624526824.009</v>
      </c>
      <c r="G6" s="11" t="s">
        <v>18</v>
      </c>
      <c r="H6" s="15">
        <f>F19</f>
        <v>-529776818.84954494</v>
      </c>
      <c r="I6" s="15">
        <f t="shared" si="0"/>
        <v>-420809338.0813427</v>
      </c>
      <c r="J6" s="15">
        <f t="shared" si="0"/>
        <v>-296178921.7680544</v>
      </c>
      <c r="K6" s="15">
        <f t="shared" si="0"/>
        <v>-154295445.4178302</v>
      </c>
      <c r="L6" s="15">
        <f t="shared" si="0"/>
        <v>6590347.0650516</v>
      </c>
      <c r="M6" s="11" t="s">
        <v>18</v>
      </c>
      <c r="N6" s="15">
        <f>L19</f>
        <v>188402757.13634494</v>
      </c>
      <c r="O6" s="15">
        <f>N19</f>
        <v>393258636.74659157</v>
      </c>
      <c r="P6" s="15">
        <f t="shared" si="0"/>
        <v>623486643.9923458</v>
      </c>
      <c r="Q6" s="18">
        <f t="shared" si="0"/>
        <v>881648424.335531</v>
      </c>
      <c r="R6" s="18">
        <f t="shared" si="0"/>
        <v>1170561909.9477546</v>
      </c>
      <c r="S6" s="11" t="s">
        <v>18</v>
      </c>
      <c r="T6" s="18">
        <f>R19</f>
        <v>1493326948.9920936</v>
      </c>
      <c r="U6" s="18">
        <f t="shared" si="0"/>
        <v>1853353497.8361144</v>
      </c>
      <c r="V6" s="18">
        <f t="shared" si="0"/>
        <v>2254392632.4892616</v>
      </c>
      <c r="W6" s="18">
        <f t="shared" si="0"/>
        <v>2700570661.1870713</v>
      </c>
      <c r="X6" s="18">
        <f t="shared" si="0"/>
        <v>3196426648.236906</v>
      </c>
      <c r="Y6" s="18">
        <f t="shared" si="0"/>
        <v>3746953690.25138</v>
      </c>
    </row>
    <row r="7" spans="1:25" ht="15.75">
      <c r="A7" s="12" t="s">
        <v>19</v>
      </c>
      <c r="B7" s="16">
        <v>0</v>
      </c>
      <c r="C7" s="16">
        <v>108693310</v>
      </c>
      <c r="D7" s="16">
        <f>C7+(0.1*C7)</f>
        <v>119562641</v>
      </c>
      <c r="E7" s="16">
        <f aca="true" t="shared" si="1" ref="E7:Y7">D7+(0.1*D7)</f>
        <v>131518905.1</v>
      </c>
      <c r="F7" s="16">
        <f t="shared" si="1"/>
        <v>144670795.60999998</v>
      </c>
      <c r="G7" s="12" t="s">
        <v>19</v>
      </c>
      <c r="H7" s="16">
        <f>F7+(0.1*F7)</f>
        <v>159137875.17099997</v>
      </c>
      <c r="I7" s="16">
        <f t="shared" si="1"/>
        <v>175051662.68809998</v>
      </c>
      <c r="J7" s="16">
        <f t="shared" si="1"/>
        <v>192556828.95690998</v>
      </c>
      <c r="K7" s="16">
        <f t="shared" si="1"/>
        <v>211812511.852601</v>
      </c>
      <c r="L7" s="16">
        <f t="shared" si="1"/>
        <v>232993763.0378611</v>
      </c>
      <c r="M7" s="12" t="s">
        <v>19</v>
      </c>
      <c r="N7" s="16">
        <f>L7+(0.1*L7)</f>
        <v>256293139.3416472</v>
      </c>
      <c r="O7" s="16">
        <f>N7+(0.1*N7)</f>
        <v>281922453.2758119</v>
      </c>
      <c r="P7" s="16">
        <f t="shared" si="1"/>
        <v>310114698.6033931</v>
      </c>
      <c r="Q7" s="16">
        <f t="shared" si="1"/>
        <v>341126168.46373236</v>
      </c>
      <c r="R7" s="16">
        <f t="shared" si="1"/>
        <v>375238785.3101056</v>
      </c>
      <c r="S7" s="12" t="s">
        <v>19</v>
      </c>
      <c r="T7" s="16">
        <f>R7+(0.1*R7)</f>
        <v>412762663.8411162</v>
      </c>
      <c r="U7" s="16">
        <f t="shared" si="1"/>
        <v>454038930.22522783</v>
      </c>
      <c r="V7" s="16">
        <f t="shared" si="1"/>
        <v>499442823.24775064</v>
      </c>
      <c r="W7" s="16">
        <f t="shared" si="1"/>
        <v>549387105.5725257</v>
      </c>
      <c r="X7" s="16">
        <f t="shared" si="1"/>
        <v>604325816.1297783</v>
      </c>
      <c r="Y7" s="16">
        <f t="shared" si="1"/>
        <v>664758397.7427561</v>
      </c>
    </row>
    <row r="8" spans="1:26" ht="15.75">
      <c r="A8" s="12" t="s">
        <v>22</v>
      </c>
      <c r="B8" s="16">
        <v>0</v>
      </c>
      <c r="C8" s="16">
        <f>C7</f>
        <v>108693310</v>
      </c>
      <c r="D8" s="16">
        <f>C8+(0.1*C8)</f>
        <v>119562641</v>
      </c>
      <c r="E8" s="16">
        <f aca="true" t="shared" si="2" ref="E8:Y8">D8+(0.1*D8)</f>
        <v>131518905.1</v>
      </c>
      <c r="F8" s="16">
        <f t="shared" si="2"/>
        <v>144670795.60999998</v>
      </c>
      <c r="G8" s="12" t="s">
        <v>22</v>
      </c>
      <c r="H8" s="16">
        <f>F8+(0.1*F8)</f>
        <v>159137875.17099997</v>
      </c>
      <c r="I8" s="16">
        <f t="shared" si="2"/>
        <v>175051662.68809998</v>
      </c>
      <c r="J8" s="16">
        <f t="shared" si="2"/>
        <v>192556828.95690998</v>
      </c>
      <c r="K8" s="16">
        <f t="shared" si="2"/>
        <v>211812511.852601</v>
      </c>
      <c r="L8" s="16">
        <f t="shared" si="2"/>
        <v>232993763.0378611</v>
      </c>
      <c r="M8" s="12" t="s">
        <v>22</v>
      </c>
      <c r="N8" s="16">
        <f>L8+(0.1*L8)</f>
        <v>256293139.3416472</v>
      </c>
      <c r="O8" s="16">
        <f>N8+(0.1*N8)</f>
        <v>281922453.2758119</v>
      </c>
      <c r="P8" s="16">
        <f t="shared" si="2"/>
        <v>310114698.6033931</v>
      </c>
      <c r="Q8" s="16">
        <f t="shared" si="2"/>
        <v>341126168.46373236</v>
      </c>
      <c r="R8" s="16">
        <f t="shared" si="2"/>
        <v>375238785.3101056</v>
      </c>
      <c r="S8" s="12" t="s">
        <v>22</v>
      </c>
      <c r="T8" s="16">
        <f>R8+(0.1*R8)</f>
        <v>412762663.8411162</v>
      </c>
      <c r="U8" s="16">
        <f t="shared" si="2"/>
        <v>454038930.22522783</v>
      </c>
      <c r="V8" s="16">
        <f t="shared" si="2"/>
        <v>499442823.24775064</v>
      </c>
      <c r="W8" s="16">
        <f t="shared" si="2"/>
        <v>549387105.5725257</v>
      </c>
      <c r="X8" s="16">
        <f t="shared" si="2"/>
        <v>604325816.1297783</v>
      </c>
      <c r="Y8" s="16">
        <f t="shared" si="2"/>
        <v>664758397.7427561</v>
      </c>
      <c r="Z8" s="8"/>
    </row>
    <row r="9" spans="1:25" ht="15.75">
      <c r="A9" s="12"/>
      <c r="B9" s="16"/>
      <c r="C9" s="16"/>
      <c r="D9" s="16"/>
      <c r="E9" s="16"/>
      <c r="F9" s="16"/>
      <c r="G9" s="12"/>
      <c r="H9" s="16"/>
      <c r="I9" s="16"/>
      <c r="J9" s="16"/>
      <c r="K9" s="16"/>
      <c r="L9" s="16"/>
      <c r="M9" s="12"/>
      <c r="N9" s="16"/>
      <c r="O9" s="16"/>
      <c r="P9" s="16"/>
      <c r="Q9" s="16"/>
      <c r="R9" s="16"/>
      <c r="S9" s="12"/>
      <c r="T9" s="16"/>
      <c r="U9" s="16"/>
      <c r="V9" s="16"/>
      <c r="W9" s="16"/>
      <c r="X9" s="16"/>
      <c r="Y9" s="16"/>
    </row>
    <row r="10" spans="1:25" ht="15.75">
      <c r="A10" s="13" t="s">
        <v>20</v>
      </c>
      <c r="B10" s="16"/>
      <c r="C10" s="16"/>
      <c r="D10" s="16"/>
      <c r="E10" s="16"/>
      <c r="F10" s="16"/>
      <c r="G10" s="13" t="s">
        <v>20</v>
      </c>
      <c r="H10" s="16"/>
      <c r="I10" s="16"/>
      <c r="J10" s="16"/>
      <c r="K10" s="16"/>
      <c r="L10" s="16"/>
      <c r="M10" s="13" t="s">
        <v>20</v>
      </c>
      <c r="N10" s="16"/>
      <c r="O10" s="16"/>
      <c r="P10" s="16"/>
      <c r="Q10" s="16"/>
      <c r="R10" s="16"/>
      <c r="S10" s="13" t="s">
        <v>20</v>
      </c>
      <c r="T10" s="16"/>
      <c r="U10" s="16"/>
      <c r="V10" s="16"/>
      <c r="W10" s="16"/>
      <c r="X10" s="16"/>
      <c r="Y10" s="16"/>
    </row>
    <row r="11" spans="1:27" ht="15.75">
      <c r="A11" s="12" t="s">
        <v>26</v>
      </c>
      <c r="B11" s="16"/>
      <c r="C11" s="16">
        <f>12*'LABA RUGI'!I21</f>
        <v>47071716</v>
      </c>
      <c r="D11" s="16">
        <f>C11+(0.05*C11)</f>
        <v>49425301.8</v>
      </c>
      <c r="E11" s="16">
        <f aca="true" t="shared" si="3" ref="E11:Y11">D11+(0.005*D11)</f>
        <v>49672428.309</v>
      </c>
      <c r="F11" s="16">
        <f t="shared" si="3"/>
        <v>49920790.450545</v>
      </c>
      <c r="G11" s="12" t="s">
        <v>26</v>
      </c>
      <c r="H11" s="16">
        <f>F11+(0.005*F11)</f>
        <v>50170394.40279772</v>
      </c>
      <c r="I11" s="16">
        <f t="shared" si="3"/>
        <v>50421246.37481171</v>
      </c>
      <c r="J11" s="16">
        <f t="shared" si="3"/>
        <v>50673352.606685765</v>
      </c>
      <c r="K11" s="16">
        <f t="shared" si="3"/>
        <v>50926719.36971919</v>
      </c>
      <c r="L11" s="16">
        <f t="shared" si="3"/>
        <v>51181352.96656779</v>
      </c>
      <c r="M11" s="12" t="s">
        <v>21</v>
      </c>
      <c r="N11" s="16">
        <f>L11+(0.005*L11)</f>
        <v>51437259.73140063</v>
      </c>
      <c r="O11" s="16">
        <f>N11+(0.005*N11)</f>
        <v>51694446.03005763</v>
      </c>
      <c r="P11" s="16">
        <f t="shared" si="3"/>
        <v>51952918.26020792</v>
      </c>
      <c r="Q11" s="16">
        <f t="shared" si="3"/>
        <v>52212682.85150896</v>
      </c>
      <c r="R11" s="16">
        <f t="shared" si="3"/>
        <v>52473746.2657665</v>
      </c>
      <c r="S11" s="12" t="s">
        <v>26</v>
      </c>
      <c r="T11" s="16">
        <f>R11+(0.005*R11)</f>
        <v>52736114.99709533</v>
      </c>
      <c r="U11" s="16">
        <f t="shared" si="3"/>
        <v>52999795.572080806</v>
      </c>
      <c r="V11" s="16">
        <f t="shared" si="3"/>
        <v>53264794.54994121</v>
      </c>
      <c r="W11" s="16">
        <f t="shared" si="3"/>
        <v>53531118.522690915</v>
      </c>
      <c r="X11" s="16">
        <f t="shared" si="3"/>
        <v>53798774.115304366</v>
      </c>
      <c r="Y11" s="16">
        <f t="shared" si="3"/>
        <v>54067767.98588089</v>
      </c>
      <c r="Z11" s="21"/>
      <c r="AA11" s="22"/>
    </row>
    <row r="12" spans="1:27" ht="15.75">
      <c r="A12" s="12" t="s">
        <v>22</v>
      </c>
      <c r="B12" s="16"/>
      <c r="C12" s="16">
        <f>C11</f>
        <v>47071716</v>
      </c>
      <c r="D12" s="16">
        <f>C12+(0.05*C12)</f>
        <v>49425301.8</v>
      </c>
      <c r="E12" s="16">
        <f aca="true" t="shared" si="4" ref="E12:Y12">D12+(0.005*D12)</f>
        <v>49672428.309</v>
      </c>
      <c r="F12" s="16">
        <f t="shared" si="4"/>
        <v>49920790.450545</v>
      </c>
      <c r="G12" s="12" t="s">
        <v>22</v>
      </c>
      <c r="H12" s="16">
        <f>F12+(0.005*F12)</f>
        <v>50170394.40279772</v>
      </c>
      <c r="I12" s="16">
        <f t="shared" si="4"/>
        <v>50421246.37481171</v>
      </c>
      <c r="J12" s="16">
        <f t="shared" si="4"/>
        <v>50673352.606685765</v>
      </c>
      <c r="K12" s="16">
        <f t="shared" si="4"/>
        <v>50926719.36971919</v>
      </c>
      <c r="L12" s="16">
        <f t="shared" si="4"/>
        <v>51181352.96656779</v>
      </c>
      <c r="M12" s="12" t="s">
        <v>22</v>
      </c>
      <c r="N12" s="16">
        <f>L12+(0.005*L12)</f>
        <v>51437259.73140063</v>
      </c>
      <c r="O12" s="16">
        <f>N12+(0.005*N12)</f>
        <v>51694446.03005763</v>
      </c>
      <c r="P12" s="16">
        <f t="shared" si="4"/>
        <v>51952918.26020792</v>
      </c>
      <c r="Q12" s="16">
        <f t="shared" si="4"/>
        <v>52212682.85150896</v>
      </c>
      <c r="R12" s="16">
        <f t="shared" si="4"/>
        <v>52473746.2657665</v>
      </c>
      <c r="S12" s="12" t="s">
        <v>22</v>
      </c>
      <c r="T12" s="16">
        <f>R12+(0.005*R12)</f>
        <v>52736114.99709533</v>
      </c>
      <c r="U12" s="16">
        <f t="shared" si="4"/>
        <v>52999795.572080806</v>
      </c>
      <c r="V12" s="16">
        <f t="shared" si="4"/>
        <v>53264794.54994121</v>
      </c>
      <c r="W12" s="16">
        <f t="shared" si="4"/>
        <v>53531118.522690915</v>
      </c>
      <c r="X12" s="16">
        <f t="shared" si="4"/>
        <v>53798774.115304366</v>
      </c>
      <c r="Y12" s="16">
        <f t="shared" si="4"/>
        <v>54067767.98588089</v>
      </c>
      <c r="Z12" s="21"/>
      <c r="AA12" s="22"/>
    </row>
    <row r="13" spans="1:25" ht="15.75">
      <c r="A13" s="12"/>
      <c r="B13" s="16"/>
      <c r="C13" s="16"/>
      <c r="D13" s="16"/>
      <c r="E13" s="16"/>
      <c r="F13" s="16"/>
      <c r="G13" s="12"/>
      <c r="H13" s="16"/>
      <c r="I13" s="16"/>
      <c r="J13" s="16"/>
      <c r="K13" s="16"/>
      <c r="L13" s="16"/>
      <c r="M13" s="12"/>
      <c r="N13" s="16"/>
      <c r="O13" s="16"/>
      <c r="P13" s="16"/>
      <c r="Q13" s="16"/>
      <c r="R13" s="16"/>
      <c r="S13" s="12"/>
      <c r="T13" s="16"/>
      <c r="U13" s="16"/>
      <c r="V13" s="16"/>
      <c r="W13" s="16"/>
      <c r="X13" s="16"/>
      <c r="Y13" s="16"/>
    </row>
    <row r="14" spans="1:25" ht="15.75">
      <c r="A14" s="13" t="s">
        <v>23</v>
      </c>
      <c r="B14" s="16"/>
      <c r="C14" s="16"/>
      <c r="D14" s="16"/>
      <c r="E14" s="16"/>
      <c r="F14" s="16"/>
      <c r="G14" s="13" t="s">
        <v>23</v>
      </c>
      <c r="H14" s="16"/>
      <c r="I14" s="16"/>
      <c r="J14" s="16"/>
      <c r="K14" s="16"/>
      <c r="L14" s="16"/>
      <c r="M14" s="13" t="s">
        <v>23</v>
      </c>
      <c r="N14" s="16"/>
      <c r="O14" s="16"/>
      <c r="P14" s="16"/>
      <c r="Q14" s="16"/>
      <c r="R14" s="16"/>
      <c r="S14" s="13" t="s">
        <v>23</v>
      </c>
      <c r="T14" s="16"/>
      <c r="U14" s="16"/>
      <c r="V14" s="16"/>
      <c r="W14" s="16"/>
      <c r="X14" s="16"/>
      <c r="Y14" s="16"/>
    </row>
    <row r="15" spans="1:25" ht="15.75">
      <c r="A15" s="12" t="s">
        <v>100</v>
      </c>
      <c r="B15" s="16">
        <v>371250000</v>
      </c>
      <c r="C15" s="16"/>
      <c r="D15" s="16"/>
      <c r="E15" s="16"/>
      <c r="F15" s="16"/>
      <c r="G15" s="12" t="s">
        <v>100</v>
      </c>
      <c r="H15" s="16"/>
      <c r="I15" s="16"/>
      <c r="J15" s="16"/>
      <c r="K15" s="16"/>
      <c r="L15" s="16"/>
      <c r="M15" s="12" t="s">
        <v>100</v>
      </c>
      <c r="N15" s="16"/>
      <c r="O15" s="16"/>
      <c r="P15" s="16"/>
      <c r="Q15" s="16"/>
      <c r="R15" s="16"/>
      <c r="S15" s="12" t="s">
        <v>100</v>
      </c>
      <c r="T15" s="16"/>
      <c r="U15" s="16"/>
      <c r="V15" s="16"/>
      <c r="W15" s="16"/>
      <c r="X15" s="16"/>
      <c r="Y15" s="16"/>
    </row>
    <row r="16" spans="1:25" ht="15.75">
      <c r="A16" s="12" t="s">
        <v>101</v>
      </c>
      <c r="B16" s="16">
        <v>449829734</v>
      </c>
      <c r="C16" s="16">
        <v>0</v>
      </c>
      <c r="D16" s="16">
        <v>0</v>
      </c>
      <c r="E16" s="16">
        <v>0</v>
      </c>
      <c r="F16" s="16">
        <v>0</v>
      </c>
      <c r="G16" s="12" t="s">
        <v>101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2" t="s">
        <v>101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2" t="s">
        <v>101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</row>
    <row r="17" spans="1:25" ht="15.75">
      <c r="A17" s="12" t="s">
        <v>24</v>
      </c>
      <c r="B17" s="16">
        <v>17052500</v>
      </c>
      <c r="C17" s="16">
        <v>0</v>
      </c>
      <c r="D17" s="16">
        <v>0</v>
      </c>
      <c r="E17" s="16">
        <v>0</v>
      </c>
      <c r="F17" s="16">
        <v>0</v>
      </c>
      <c r="G17" s="12" t="s">
        <v>24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2" t="s">
        <v>24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2" t="s">
        <v>24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</row>
    <row r="18" spans="1:25" ht="15.75">
      <c r="A18" s="14" t="s">
        <v>22</v>
      </c>
      <c r="B18" s="17">
        <f>SUM(B15:B17)</f>
        <v>838132234</v>
      </c>
      <c r="C18" s="17">
        <v>0</v>
      </c>
      <c r="D18" s="17">
        <v>0</v>
      </c>
      <c r="E18" s="17">
        <v>0</v>
      </c>
      <c r="F18" s="17">
        <v>0</v>
      </c>
      <c r="G18" s="14" t="s">
        <v>22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4" t="s">
        <v>22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4" t="s">
        <v>22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</row>
    <row r="19" spans="1:25" ht="15.75">
      <c r="A19" s="19" t="s">
        <v>25</v>
      </c>
      <c r="B19" s="20">
        <f>-B18</f>
        <v>-838132234</v>
      </c>
      <c r="C19" s="20">
        <f aca="true" t="shared" si="5" ref="C19:Y19">C6+C8-C12</f>
        <v>-776510640</v>
      </c>
      <c r="D19" s="20">
        <f t="shared" si="5"/>
        <v>-706373300.8</v>
      </c>
      <c r="E19" s="20">
        <f t="shared" si="5"/>
        <v>-624526824.009</v>
      </c>
      <c r="F19" s="20">
        <f t="shared" si="5"/>
        <v>-529776818.84954494</v>
      </c>
      <c r="G19" s="19" t="s">
        <v>25</v>
      </c>
      <c r="H19" s="20">
        <f t="shared" si="5"/>
        <v>-420809338.0813427</v>
      </c>
      <c r="I19" s="20">
        <f t="shared" si="5"/>
        <v>-296178921.7680544</v>
      </c>
      <c r="J19" s="20">
        <f t="shared" si="5"/>
        <v>-154295445.4178302</v>
      </c>
      <c r="K19" s="20">
        <f t="shared" si="5"/>
        <v>6590347.0650516</v>
      </c>
      <c r="L19" s="20">
        <f t="shared" si="5"/>
        <v>188402757.13634494</v>
      </c>
      <c r="M19" s="19" t="s">
        <v>25</v>
      </c>
      <c r="N19" s="20">
        <f t="shared" si="5"/>
        <v>393258636.74659157</v>
      </c>
      <c r="O19" s="20">
        <f t="shared" si="5"/>
        <v>623486643.9923458</v>
      </c>
      <c r="P19" s="20">
        <f t="shared" si="5"/>
        <v>881648424.335531</v>
      </c>
      <c r="Q19" s="20">
        <f t="shared" si="5"/>
        <v>1170561909.9477546</v>
      </c>
      <c r="R19" s="20">
        <f t="shared" si="5"/>
        <v>1493326948.9920936</v>
      </c>
      <c r="S19" s="19" t="s">
        <v>25</v>
      </c>
      <c r="T19" s="20">
        <f t="shared" si="5"/>
        <v>1853353497.8361144</v>
      </c>
      <c r="U19" s="20">
        <f t="shared" si="5"/>
        <v>2254392632.4892616</v>
      </c>
      <c r="V19" s="20">
        <f t="shared" si="5"/>
        <v>2700570661.1870713</v>
      </c>
      <c r="W19" s="20">
        <f t="shared" si="5"/>
        <v>3196426648.236906</v>
      </c>
      <c r="X19" s="20">
        <f t="shared" si="5"/>
        <v>3746953690.25138</v>
      </c>
      <c r="Y19" s="20">
        <f t="shared" si="5"/>
        <v>4357644320.008255</v>
      </c>
    </row>
    <row r="20" spans="2:16" ht="15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3" ht="15.75">
      <c r="A21" s="1" t="s">
        <v>106</v>
      </c>
      <c r="C21" s="1" t="s">
        <v>109</v>
      </c>
    </row>
    <row r="22" spans="1:3" ht="15.75">
      <c r="A22" s="1" t="s">
        <v>102</v>
      </c>
      <c r="C22" s="1" t="s">
        <v>114</v>
      </c>
    </row>
    <row r="23" spans="1:3" ht="15.75">
      <c r="A23" s="1" t="s">
        <v>104</v>
      </c>
      <c r="C23" s="1" t="s">
        <v>107</v>
      </c>
    </row>
    <row r="24" spans="1:3" ht="15.75">
      <c r="A24" s="1" t="s">
        <v>103</v>
      </c>
      <c r="C24" s="1" t="s">
        <v>108</v>
      </c>
    </row>
    <row r="26" spans="1:3" ht="15.75">
      <c r="A26" s="1" t="s">
        <v>105</v>
      </c>
      <c r="C26" s="1" t="s">
        <v>115</v>
      </c>
    </row>
    <row r="27" spans="1:3" ht="15.75">
      <c r="A27" s="1" t="s">
        <v>110</v>
      </c>
      <c r="C27" s="1" t="s">
        <v>111</v>
      </c>
    </row>
    <row r="28" spans="1:3" ht="15.75">
      <c r="A28" s="1" t="s">
        <v>112</v>
      </c>
      <c r="C28" s="1" t="s">
        <v>113</v>
      </c>
    </row>
    <row r="31" spans="1:7" ht="15.75">
      <c r="A31" s="66" t="s">
        <v>95</v>
      </c>
      <c r="B31" s="66"/>
      <c r="C31" s="66"/>
      <c r="D31" s="66"/>
      <c r="E31" s="66"/>
      <c r="F31" s="66"/>
      <c r="G31" s="40"/>
    </row>
    <row r="33" ht="15.75">
      <c r="A33" s="1" t="s">
        <v>62</v>
      </c>
    </row>
    <row r="35" spans="1:25" ht="15.75">
      <c r="A35" s="9" t="s">
        <v>17</v>
      </c>
      <c r="B35" s="10">
        <v>0</v>
      </c>
      <c r="C35" s="10">
        <v>1</v>
      </c>
      <c r="D35" s="10">
        <v>2</v>
      </c>
      <c r="E35" s="10">
        <v>3</v>
      </c>
      <c r="F35" s="10">
        <v>4</v>
      </c>
      <c r="G35" s="9" t="s">
        <v>17</v>
      </c>
      <c r="H35" s="10">
        <v>5</v>
      </c>
      <c r="I35" s="10">
        <v>6</v>
      </c>
      <c r="J35" s="10">
        <v>7</v>
      </c>
      <c r="K35" s="10">
        <v>8</v>
      </c>
      <c r="L35" s="10">
        <v>9</v>
      </c>
      <c r="M35" s="9" t="s">
        <v>17</v>
      </c>
      <c r="N35" s="10">
        <v>10</v>
      </c>
      <c r="O35" s="10">
        <v>11</v>
      </c>
      <c r="P35" s="10">
        <v>12</v>
      </c>
      <c r="Q35" s="10">
        <v>13</v>
      </c>
      <c r="R35" s="10">
        <v>14</v>
      </c>
      <c r="S35" s="9" t="s">
        <v>17</v>
      </c>
      <c r="T35" s="10">
        <v>15</v>
      </c>
      <c r="U35" s="10">
        <v>16</v>
      </c>
      <c r="V35" s="10">
        <v>17</v>
      </c>
      <c r="W35" s="10">
        <v>18</v>
      </c>
      <c r="X35" s="10">
        <v>19</v>
      </c>
      <c r="Y35" s="10">
        <v>20</v>
      </c>
    </row>
    <row r="36" spans="1:25" ht="15.75">
      <c r="A36" s="11" t="s">
        <v>18</v>
      </c>
      <c r="B36" s="15"/>
      <c r="C36" s="15">
        <f aca="true" t="shared" si="6" ref="C36:Y36">B49</f>
        <v>-838132234</v>
      </c>
      <c r="D36" s="15">
        <f t="shared" si="6"/>
        <v>-786276550</v>
      </c>
      <c r="E36" s="15">
        <f t="shared" si="6"/>
        <v>-726881711.8</v>
      </c>
      <c r="F36" s="15">
        <f t="shared" si="6"/>
        <v>-656851986.109</v>
      </c>
      <c r="G36" s="11" t="s">
        <v>18</v>
      </c>
      <c r="H36" s="15">
        <f>F49</f>
        <v>-575100407.159545</v>
      </c>
      <c r="I36" s="15">
        <f t="shared" si="6"/>
        <v>-480431195.2223426</v>
      </c>
      <c r="J36" s="15">
        <f t="shared" si="6"/>
        <v>-371528874.62315434</v>
      </c>
      <c r="K36" s="15">
        <f t="shared" si="6"/>
        <v>-246946303.5584401</v>
      </c>
      <c r="L36" s="15">
        <f t="shared" si="6"/>
        <v>-105091506.88961928</v>
      </c>
      <c r="M36" s="11" t="s">
        <v>18</v>
      </c>
      <c r="N36" s="15">
        <f>L49</f>
        <v>55786807.78620694</v>
      </c>
      <c r="O36" s="15">
        <f>N49</f>
        <v>237615182.4614397</v>
      </c>
      <c r="P36" s="15">
        <f t="shared" si="6"/>
        <v>442512934.27867883</v>
      </c>
      <c r="Q36" s="18">
        <f t="shared" si="6"/>
        <v>672811433.6504974</v>
      </c>
      <c r="R36" s="18">
        <f t="shared" si="6"/>
        <v>931075310.1942176</v>
      </c>
      <c r="S36" s="11" t="s">
        <v>18</v>
      </c>
      <c r="T36" s="18">
        <f>R49</f>
        <v>1220125779.2632031</v>
      </c>
      <c r="U36" s="18">
        <f t="shared" si="6"/>
        <v>1543066301.134335</v>
      </c>
      <c r="V36" s="18">
        <f t="shared" si="6"/>
        <v>1903310806.117304</v>
      </c>
      <c r="W36" s="18">
        <f t="shared" si="6"/>
        <v>2304614742.177918</v>
      </c>
      <c r="X36" s="18">
        <f t="shared" si="6"/>
        <v>2751109227.3268375</v>
      </c>
      <c r="Y36" s="18">
        <f t="shared" si="6"/>
        <v>3247338617.2503047</v>
      </c>
    </row>
    <row r="37" spans="1:25" ht="15.75">
      <c r="A37" s="12" t="s">
        <v>19</v>
      </c>
      <c r="B37" s="16">
        <v>0</v>
      </c>
      <c r="C37" s="16">
        <f>12.683*'LABA RUGI'!I37</f>
        <v>98927400</v>
      </c>
      <c r="D37" s="16">
        <f>C37+(0.1*C37)</f>
        <v>108820140</v>
      </c>
      <c r="E37" s="16">
        <f aca="true" t="shared" si="7" ref="E37:Y37">D37+(0.1*D37)</f>
        <v>119702154</v>
      </c>
      <c r="F37" s="16">
        <f t="shared" si="7"/>
        <v>131672369.4</v>
      </c>
      <c r="G37" s="12" t="s">
        <v>19</v>
      </c>
      <c r="H37" s="16">
        <f>F37+(0.1*F37)</f>
        <v>144839606.34</v>
      </c>
      <c r="I37" s="16">
        <f t="shared" si="7"/>
        <v>159323566.974</v>
      </c>
      <c r="J37" s="16">
        <f t="shared" si="7"/>
        <v>175255923.6714</v>
      </c>
      <c r="K37" s="16">
        <f t="shared" si="7"/>
        <v>192781516.03854</v>
      </c>
      <c r="L37" s="16">
        <f t="shared" si="7"/>
        <v>212059667.642394</v>
      </c>
      <c r="M37" s="12" t="s">
        <v>19</v>
      </c>
      <c r="N37" s="16">
        <f>L37+(0.1*L37)</f>
        <v>233265634.4066334</v>
      </c>
      <c r="O37" s="16">
        <f>N37+(0.1*N37)</f>
        <v>256592197.84729674</v>
      </c>
      <c r="P37" s="16">
        <f t="shared" si="7"/>
        <v>282251417.63202643</v>
      </c>
      <c r="Q37" s="16">
        <f t="shared" si="7"/>
        <v>310476559.3952291</v>
      </c>
      <c r="R37" s="16">
        <f t="shared" si="7"/>
        <v>341524215.334752</v>
      </c>
      <c r="S37" s="12" t="s">
        <v>19</v>
      </c>
      <c r="T37" s="16">
        <f>R37+(0.1*R37)</f>
        <v>375676636.86822724</v>
      </c>
      <c r="U37" s="16">
        <f t="shared" si="7"/>
        <v>413244300.55504996</v>
      </c>
      <c r="V37" s="16">
        <f t="shared" si="7"/>
        <v>454568730.61055493</v>
      </c>
      <c r="W37" s="16">
        <f t="shared" si="7"/>
        <v>500025603.6716104</v>
      </c>
      <c r="X37" s="16">
        <f t="shared" si="7"/>
        <v>550028164.0387715</v>
      </c>
      <c r="Y37" s="16">
        <f t="shared" si="7"/>
        <v>605030980.4426486</v>
      </c>
    </row>
    <row r="38" spans="1:25" ht="15.75">
      <c r="A38" s="12" t="s">
        <v>22</v>
      </c>
      <c r="B38" s="16">
        <v>0</v>
      </c>
      <c r="C38" s="16">
        <f>C37</f>
        <v>98927400</v>
      </c>
      <c r="D38" s="16">
        <f>C38+(0.1*C38)</f>
        <v>108820140</v>
      </c>
      <c r="E38" s="16">
        <f aca="true" t="shared" si="8" ref="E38:Y38">D38+(0.1*D38)</f>
        <v>119702154</v>
      </c>
      <c r="F38" s="16">
        <f t="shared" si="8"/>
        <v>131672369.4</v>
      </c>
      <c r="G38" s="12" t="s">
        <v>22</v>
      </c>
      <c r="H38" s="16">
        <f>F38+(0.1*F38)</f>
        <v>144839606.34</v>
      </c>
      <c r="I38" s="16">
        <f t="shared" si="8"/>
        <v>159323566.974</v>
      </c>
      <c r="J38" s="16">
        <f t="shared" si="8"/>
        <v>175255923.6714</v>
      </c>
      <c r="K38" s="16">
        <f t="shared" si="8"/>
        <v>192781516.03854</v>
      </c>
      <c r="L38" s="16">
        <f t="shared" si="8"/>
        <v>212059667.642394</v>
      </c>
      <c r="M38" s="12" t="s">
        <v>22</v>
      </c>
      <c r="N38" s="16">
        <f>L38+(0.1*L38)</f>
        <v>233265634.4066334</v>
      </c>
      <c r="O38" s="16">
        <f>N38+(0.1*N38)</f>
        <v>256592197.84729674</v>
      </c>
      <c r="P38" s="16">
        <f t="shared" si="8"/>
        <v>282251417.63202643</v>
      </c>
      <c r="Q38" s="16">
        <f t="shared" si="8"/>
        <v>310476559.3952291</v>
      </c>
      <c r="R38" s="16">
        <f t="shared" si="8"/>
        <v>341524215.334752</v>
      </c>
      <c r="S38" s="12" t="s">
        <v>22</v>
      </c>
      <c r="T38" s="16">
        <f>R38+(0.1*R38)</f>
        <v>375676636.86822724</v>
      </c>
      <c r="U38" s="16">
        <f t="shared" si="8"/>
        <v>413244300.55504996</v>
      </c>
      <c r="V38" s="16">
        <f t="shared" si="8"/>
        <v>454568730.61055493</v>
      </c>
      <c r="W38" s="16">
        <f t="shared" si="8"/>
        <v>500025603.6716104</v>
      </c>
      <c r="X38" s="16">
        <f t="shared" si="8"/>
        <v>550028164.0387715</v>
      </c>
      <c r="Y38" s="16">
        <f t="shared" si="8"/>
        <v>605030980.4426486</v>
      </c>
    </row>
    <row r="39" spans="1:25" ht="15.75">
      <c r="A39" s="12"/>
      <c r="B39" s="16"/>
      <c r="C39" s="16"/>
      <c r="D39" s="16"/>
      <c r="E39" s="16"/>
      <c r="F39" s="16"/>
      <c r="G39" s="12"/>
      <c r="H39" s="16"/>
      <c r="I39" s="16"/>
      <c r="J39" s="16"/>
      <c r="K39" s="16"/>
      <c r="L39" s="16"/>
      <c r="M39" s="12"/>
      <c r="N39" s="16"/>
      <c r="O39" s="16"/>
      <c r="P39" s="16"/>
      <c r="Q39" s="16"/>
      <c r="R39" s="16"/>
      <c r="S39" s="12"/>
      <c r="T39" s="16"/>
      <c r="U39" s="16"/>
      <c r="V39" s="16"/>
      <c r="W39" s="16"/>
      <c r="X39" s="16"/>
      <c r="Y39" s="16"/>
    </row>
    <row r="40" spans="1:25" ht="15.75">
      <c r="A40" s="13" t="s">
        <v>20</v>
      </c>
      <c r="B40" s="16"/>
      <c r="C40" s="16"/>
      <c r="D40" s="16"/>
      <c r="E40" s="16"/>
      <c r="F40" s="16"/>
      <c r="G40" s="13" t="s">
        <v>20</v>
      </c>
      <c r="H40" s="16"/>
      <c r="I40" s="16"/>
      <c r="J40" s="16"/>
      <c r="K40" s="16"/>
      <c r="L40" s="16"/>
      <c r="M40" s="13" t="s">
        <v>20</v>
      </c>
      <c r="N40" s="16"/>
      <c r="O40" s="16"/>
      <c r="P40" s="16"/>
      <c r="Q40" s="16"/>
      <c r="R40" s="16"/>
      <c r="S40" s="13" t="s">
        <v>20</v>
      </c>
      <c r="T40" s="16"/>
      <c r="U40" s="16"/>
      <c r="V40" s="16"/>
      <c r="W40" s="16"/>
      <c r="X40" s="16"/>
      <c r="Y40" s="16"/>
    </row>
    <row r="41" spans="1:25" ht="15.75">
      <c r="A41" s="12" t="s">
        <v>26</v>
      </c>
      <c r="B41" s="16"/>
      <c r="C41" s="16">
        <f>12*'LABA RUGI'!I49</f>
        <v>47071716</v>
      </c>
      <c r="D41" s="16">
        <f>C41+(0.05*C41)</f>
        <v>49425301.8</v>
      </c>
      <c r="E41" s="16">
        <f aca="true" t="shared" si="9" ref="E41:Y41">D41+(0.005*D41)</f>
        <v>49672428.309</v>
      </c>
      <c r="F41" s="16">
        <f t="shared" si="9"/>
        <v>49920790.450545</v>
      </c>
      <c r="G41" s="12" t="s">
        <v>26</v>
      </c>
      <c r="H41" s="16">
        <f>F41+(0.005*F41)</f>
        <v>50170394.40279772</v>
      </c>
      <c r="I41" s="16">
        <f t="shared" si="9"/>
        <v>50421246.37481171</v>
      </c>
      <c r="J41" s="16">
        <f t="shared" si="9"/>
        <v>50673352.606685765</v>
      </c>
      <c r="K41" s="16">
        <f t="shared" si="9"/>
        <v>50926719.36971919</v>
      </c>
      <c r="L41" s="16">
        <f t="shared" si="9"/>
        <v>51181352.96656779</v>
      </c>
      <c r="M41" s="12" t="s">
        <v>21</v>
      </c>
      <c r="N41" s="16">
        <f>L41+(0.005*L41)</f>
        <v>51437259.73140063</v>
      </c>
      <c r="O41" s="16">
        <f>N41+(0.005*N41)</f>
        <v>51694446.03005763</v>
      </c>
      <c r="P41" s="16">
        <f t="shared" si="9"/>
        <v>51952918.26020792</v>
      </c>
      <c r="Q41" s="16">
        <f t="shared" si="9"/>
        <v>52212682.85150896</v>
      </c>
      <c r="R41" s="16">
        <f t="shared" si="9"/>
        <v>52473746.2657665</v>
      </c>
      <c r="S41" s="12" t="s">
        <v>26</v>
      </c>
      <c r="T41" s="16">
        <f>R41+(0.005*R41)</f>
        <v>52736114.99709533</v>
      </c>
      <c r="U41" s="16">
        <f t="shared" si="9"/>
        <v>52999795.572080806</v>
      </c>
      <c r="V41" s="16">
        <f t="shared" si="9"/>
        <v>53264794.54994121</v>
      </c>
      <c r="W41" s="16">
        <f t="shared" si="9"/>
        <v>53531118.522690915</v>
      </c>
      <c r="X41" s="16">
        <f t="shared" si="9"/>
        <v>53798774.115304366</v>
      </c>
      <c r="Y41" s="16">
        <f t="shared" si="9"/>
        <v>54067767.98588089</v>
      </c>
    </row>
    <row r="42" spans="1:25" ht="15.75">
      <c r="A42" s="12" t="s">
        <v>22</v>
      </c>
      <c r="B42" s="16"/>
      <c r="C42" s="16">
        <f>C41</f>
        <v>47071716</v>
      </c>
      <c r="D42" s="16">
        <f>C42+(0.05*C42)</f>
        <v>49425301.8</v>
      </c>
      <c r="E42" s="16">
        <f aca="true" t="shared" si="10" ref="E42:Y42">D42+(0.005*D42)</f>
        <v>49672428.309</v>
      </c>
      <c r="F42" s="16">
        <f t="shared" si="10"/>
        <v>49920790.450545</v>
      </c>
      <c r="G42" s="12" t="s">
        <v>22</v>
      </c>
      <c r="H42" s="16">
        <f>F42+(0.005*F42)</f>
        <v>50170394.40279772</v>
      </c>
      <c r="I42" s="16">
        <f t="shared" si="10"/>
        <v>50421246.37481171</v>
      </c>
      <c r="J42" s="16">
        <f t="shared" si="10"/>
        <v>50673352.606685765</v>
      </c>
      <c r="K42" s="16">
        <f t="shared" si="10"/>
        <v>50926719.36971919</v>
      </c>
      <c r="L42" s="16">
        <f t="shared" si="10"/>
        <v>51181352.96656779</v>
      </c>
      <c r="M42" s="12" t="s">
        <v>22</v>
      </c>
      <c r="N42" s="16">
        <f>L42+(0.005*L42)</f>
        <v>51437259.73140063</v>
      </c>
      <c r="O42" s="16">
        <f>N42+(0.005*N42)</f>
        <v>51694446.03005763</v>
      </c>
      <c r="P42" s="16">
        <f t="shared" si="10"/>
        <v>51952918.26020792</v>
      </c>
      <c r="Q42" s="16">
        <f t="shared" si="10"/>
        <v>52212682.85150896</v>
      </c>
      <c r="R42" s="16">
        <f t="shared" si="10"/>
        <v>52473746.2657665</v>
      </c>
      <c r="S42" s="12" t="s">
        <v>22</v>
      </c>
      <c r="T42" s="16">
        <f>R42+(0.005*R42)</f>
        <v>52736114.99709533</v>
      </c>
      <c r="U42" s="16">
        <f t="shared" si="10"/>
        <v>52999795.572080806</v>
      </c>
      <c r="V42" s="16">
        <f t="shared" si="10"/>
        <v>53264794.54994121</v>
      </c>
      <c r="W42" s="16">
        <f t="shared" si="10"/>
        <v>53531118.522690915</v>
      </c>
      <c r="X42" s="16">
        <f t="shared" si="10"/>
        <v>53798774.115304366</v>
      </c>
      <c r="Y42" s="16">
        <f t="shared" si="10"/>
        <v>54067767.98588089</v>
      </c>
    </row>
    <row r="43" spans="1:25" ht="15.75">
      <c r="A43" s="12"/>
      <c r="B43" s="16"/>
      <c r="C43" s="16"/>
      <c r="D43" s="16"/>
      <c r="E43" s="16"/>
      <c r="F43" s="16"/>
      <c r="G43" s="12"/>
      <c r="H43" s="16"/>
      <c r="I43" s="16"/>
      <c r="J43" s="16"/>
      <c r="K43" s="16"/>
      <c r="L43" s="16"/>
      <c r="M43" s="12"/>
      <c r="N43" s="16"/>
      <c r="O43" s="16"/>
      <c r="P43" s="16"/>
      <c r="Q43" s="16"/>
      <c r="R43" s="16"/>
      <c r="S43" s="12"/>
      <c r="T43" s="16"/>
      <c r="U43" s="16"/>
      <c r="V43" s="16"/>
      <c r="W43" s="16"/>
      <c r="X43" s="16"/>
      <c r="Y43" s="16"/>
    </row>
    <row r="44" spans="1:25" ht="15.75">
      <c r="A44" s="13" t="s">
        <v>23</v>
      </c>
      <c r="B44" s="16"/>
      <c r="C44" s="16"/>
      <c r="D44" s="16"/>
      <c r="E44" s="16"/>
      <c r="F44" s="16"/>
      <c r="G44" s="13" t="s">
        <v>23</v>
      </c>
      <c r="H44" s="16"/>
      <c r="I44" s="16"/>
      <c r="J44" s="16"/>
      <c r="K44" s="16"/>
      <c r="L44" s="16"/>
      <c r="M44" s="13" t="s">
        <v>23</v>
      </c>
      <c r="N44" s="16"/>
      <c r="O44" s="16"/>
      <c r="P44" s="16"/>
      <c r="Q44" s="16"/>
      <c r="R44" s="16"/>
      <c r="S44" s="13" t="s">
        <v>23</v>
      </c>
      <c r="T44" s="16"/>
      <c r="U44" s="16"/>
      <c r="V44" s="16"/>
      <c r="W44" s="16"/>
      <c r="X44" s="16"/>
      <c r="Y44" s="16"/>
    </row>
    <row r="45" spans="1:25" ht="15.75">
      <c r="A45" s="12" t="s">
        <v>100</v>
      </c>
      <c r="B45" s="16">
        <v>371250000</v>
      </c>
      <c r="C45" s="16"/>
      <c r="D45" s="16"/>
      <c r="E45" s="16"/>
      <c r="F45" s="16"/>
      <c r="G45" s="12" t="s">
        <v>100</v>
      </c>
      <c r="H45" s="16"/>
      <c r="I45" s="16"/>
      <c r="J45" s="16"/>
      <c r="K45" s="16"/>
      <c r="L45" s="16"/>
      <c r="M45" s="12" t="s">
        <v>100</v>
      </c>
      <c r="N45" s="16"/>
      <c r="O45" s="16"/>
      <c r="P45" s="16"/>
      <c r="Q45" s="16"/>
      <c r="R45" s="16"/>
      <c r="S45" s="12" t="s">
        <v>100</v>
      </c>
      <c r="T45" s="16"/>
      <c r="U45" s="16"/>
      <c r="V45" s="16"/>
      <c r="W45" s="16"/>
      <c r="X45" s="16"/>
      <c r="Y45" s="16"/>
    </row>
    <row r="46" spans="1:25" ht="15.75">
      <c r="A46" s="12" t="s">
        <v>101</v>
      </c>
      <c r="B46" s="16">
        <v>449829734</v>
      </c>
      <c r="C46" s="16">
        <v>0</v>
      </c>
      <c r="D46" s="16">
        <v>0</v>
      </c>
      <c r="E46" s="16">
        <v>0</v>
      </c>
      <c r="F46" s="16">
        <v>0</v>
      </c>
      <c r="G46" s="12" t="s">
        <v>101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2" t="s">
        <v>101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2" t="s">
        <v>101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</row>
    <row r="47" spans="1:25" ht="15.75">
      <c r="A47" s="12" t="s">
        <v>24</v>
      </c>
      <c r="B47" s="16">
        <v>17052500</v>
      </c>
      <c r="C47" s="16">
        <v>0</v>
      </c>
      <c r="D47" s="16">
        <v>0</v>
      </c>
      <c r="E47" s="16">
        <v>0</v>
      </c>
      <c r="F47" s="16">
        <v>0</v>
      </c>
      <c r="G47" s="12" t="s">
        <v>24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2" t="s">
        <v>24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2" t="s">
        <v>24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</row>
    <row r="48" spans="1:25" ht="15.75">
      <c r="A48" s="14" t="s">
        <v>22</v>
      </c>
      <c r="B48" s="17">
        <f>SUM(B45:B47)</f>
        <v>838132234</v>
      </c>
      <c r="C48" s="17">
        <v>0</v>
      </c>
      <c r="D48" s="17">
        <v>0</v>
      </c>
      <c r="E48" s="17">
        <v>0</v>
      </c>
      <c r="F48" s="17">
        <v>0</v>
      </c>
      <c r="G48" s="14" t="s">
        <v>22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4" t="s">
        <v>22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4" t="s">
        <v>22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</row>
    <row r="49" spans="1:25" ht="15.75">
      <c r="A49" s="19" t="s">
        <v>25</v>
      </c>
      <c r="B49" s="20">
        <f>-B48</f>
        <v>-838132234</v>
      </c>
      <c r="C49" s="20">
        <f aca="true" t="shared" si="11" ref="C49:Y49">C36+C38-C42</f>
        <v>-786276550</v>
      </c>
      <c r="D49" s="20">
        <f t="shared" si="11"/>
        <v>-726881711.8</v>
      </c>
      <c r="E49" s="20">
        <f t="shared" si="11"/>
        <v>-656851986.109</v>
      </c>
      <c r="F49" s="20">
        <f t="shared" si="11"/>
        <v>-575100407.159545</v>
      </c>
      <c r="G49" s="19" t="s">
        <v>25</v>
      </c>
      <c r="H49" s="20">
        <f t="shared" si="11"/>
        <v>-480431195.2223426</v>
      </c>
      <c r="I49" s="20">
        <f t="shared" si="11"/>
        <v>-371528874.62315434</v>
      </c>
      <c r="J49" s="20">
        <f t="shared" si="11"/>
        <v>-246946303.5584401</v>
      </c>
      <c r="K49" s="20">
        <f t="shared" si="11"/>
        <v>-105091506.88961928</v>
      </c>
      <c r="L49" s="20">
        <f t="shared" si="11"/>
        <v>55786807.78620694</v>
      </c>
      <c r="M49" s="19" t="s">
        <v>25</v>
      </c>
      <c r="N49" s="20">
        <f t="shared" si="11"/>
        <v>237615182.4614397</v>
      </c>
      <c r="O49" s="20">
        <f t="shared" si="11"/>
        <v>442512934.27867883</v>
      </c>
      <c r="P49" s="20">
        <f t="shared" si="11"/>
        <v>672811433.6504974</v>
      </c>
      <c r="Q49" s="20">
        <f t="shared" si="11"/>
        <v>931075310.1942176</v>
      </c>
      <c r="R49" s="20">
        <f t="shared" si="11"/>
        <v>1220125779.2632031</v>
      </c>
      <c r="S49" s="19" t="s">
        <v>25</v>
      </c>
      <c r="T49" s="20">
        <f t="shared" si="11"/>
        <v>1543066301.134335</v>
      </c>
      <c r="U49" s="20">
        <f t="shared" si="11"/>
        <v>1903310806.117304</v>
      </c>
      <c r="V49" s="20">
        <f t="shared" si="11"/>
        <v>2304614742.177918</v>
      </c>
      <c r="W49" s="20">
        <f t="shared" si="11"/>
        <v>2751109227.3268375</v>
      </c>
      <c r="X49" s="20">
        <f t="shared" si="11"/>
        <v>3247338617.2503047</v>
      </c>
      <c r="Y49" s="20">
        <f t="shared" si="11"/>
        <v>3798301829.7070723</v>
      </c>
    </row>
    <row r="63" ht="15.75">
      <c r="A63" s="1" t="s">
        <v>67</v>
      </c>
    </row>
    <row r="65" spans="1:25" ht="15.75">
      <c r="A65" s="9" t="s">
        <v>17</v>
      </c>
      <c r="B65" s="10">
        <v>0</v>
      </c>
      <c r="C65" s="10">
        <v>1</v>
      </c>
      <c r="D65" s="10">
        <v>2</v>
      </c>
      <c r="E65" s="10">
        <v>3</v>
      </c>
      <c r="F65" s="10">
        <v>4</v>
      </c>
      <c r="G65" s="9" t="s">
        <v>17</v>
      </c>
      <c r="H65" s="10">
        <v>5</v>
      </c>
      <c r="I65" s="10">
        <v>6</v>
      </c>
      <c r="J65" s="10">
        <v>7</v>
      </c>
      <c r="K65" s="10">
        <v>8</v>
      </c>
      <c r="L65" s="10">
        <v>9</v>
      </c>
      <c r="M65" s="9" t="s">
        <v>17</v>
      </c>
      <c r="N65" s="10">
        <v>10</v>
      </c>
      <c r="O65" s="10">
        <v>11</v>
      </c>
      <c r="P65" s="10">
        <v>12</v>
      </c>
      <c r="Q65" s="10">
        <v>13</v>
      </c>
      <c r="R65" s="10">
        <v>14</v>
      </c>
      <c r="S65" s="9" t="s">
        <v>17</v>
      </c>
      <c r="T65" s="10">
        <v>15</v>
      </c>
      <c r="U65" s="10">
        <v>16</v>
      </c>
      <c r="V65" s="10">
        <v>17</v>
      </c>
      <c r="W65" s="10">
        <v>18</v>
      </c>
      <c r="X65" s="10">
        <v>19</v>
      </c>
      <c r="Y65" s="10">
        <v>20</v>
      </c>
    </row>
    <row r="66" spans="1:25" ht="15.75">
      <c r="A66" s="11" t="s">
        <v>18</v>
      </c>
      <c r="B66" s="15"/>
      <c r="C66" s="15">
        <f aca="true" t="shared" si="12" ref="C66:Y66">B79</f>
        <v>-838132234</v>
      </c>
      <c r="D66" s="15">
        <f t="shared" si="12"/>
        <v>-796042460</v>
      </c>
      <c r="E66" s="15">
        <f t="shared" si="12"/>
        <v>-747390122.8</v>
      </c>
      <c r="F66" s="15">
        <f t="shared" si="12"/>
        <v>-689177148.209</v>
      </c>
      <c r="G66" s="11" t="s">
        <v>18</v>
      </c>
      <c r="H66" s="15">
        <f>F79</f>
        <v>-620423995.4695449</v>
      </c>
      <c r="I66" s="15">
        <f t="shared" si="12"/>
        <v>-540053052.3633426</v>
      </c>
      <c r="J66" s="15">
        <f t="shared" si="12"/>
        <v>-446878827.4782543</v>
      </c>
      <c r="K66" s="15">
        <f t="shared" si="12"/>
        <v>-339597161.69905007</v>
      </c>
      <c r="L66" s="15">
        <f t="shared" si="12"/>
        <v>-216773360.8442902</v>
      </c>
      <c r="M66" s="11" t="s">
        <v>18</v>
      </c>
      <c r="N66" s="15">
        <f>L79</f>
        <v>-76829141.56393102</v>
      </c>
      <c r="O66" s="15">
        <f>N79</f>
        <v>81971728.17628801</v>
      </c>
      <c r="P66" s="15">
        <f t="shared" si="12"/>
        <v>261539224.565012</v>
      </c>
      <c r="Q66" s="18">
        <f t="shared" si="12"/>
        <v>463974442.9654639</v>
      </c>
      <c r="R66" s="18">
        <f t="shared" si="12"/>
        <v>691588710.4406806</v>
      </c>
      <c r="S66" s="11" t="s">
        <v>18</v>
      </c>
      <c r="T66" s="18">
        <f>R79</f>
        <v>946924609.5343125</v>
      </c>
      <c r="U66" s="18">
        <f t="shared" si="12"/>
        <v>1232779104.4325554</v>
      </c>
      <c r="V66" s="18">
        <f t="shared" si="12"/>
        <v>1552228979.7453465</v>
      </c>
      <c r="W66" s="18">
        <f t="shared" si="12"/>
        <v>1908658823.1687644</v>
      </c>
      <c r="X66" s="18">
        <f t="shared" si="12"/>
        <v>2305791806.4167686</v>
      </c>
      <c r="Y66" s="18">
        <f t="shared" si="12"/>
        <v>2747723544.249229</v>
      </c>
    </row>
    <row r="67" spans="1:25" ht="15.75">
      <c r="A67" s="12" t="s">
        <v>19</v>
      </c>
      <c r="B67" s="16">
        <v>0</v>
      </c>
      <c r="C67" s="16">
        <f>12.683*'LABA RUGI'!V9</f>
        <v>89161490</v>
      </c>
      <c r="D67" s="16">
        <f>C67+(0.1*C67)</f>
        <v>98077639</v>
      </c>
      <c r="E67" s="16">
        <f aca="true" t="shared" si="13" ref="E67:Y67">D67+(0.1*D67)</f>
        <v>107885402.9</v>
      </c>
      <c r="F67" s="16">
        <f t="shared" si="13"/>
        <v>118673943.19000001</v>
      </c>
      <c r="G67" s="12" t="s">
        <v>19</v>
      </c>
      <c r="H67" s="16">
        <f>F67+(0.1*F67)</f>
        <v>130541337.50900002</v>
      </c>
      <c r="I67" s="16">
        <f t="shared" si="13"/>
        <v>143595471.25990003</v>
      </c>
      <c r="J67" s="16">
        <f t="shared" si="13"/>
        <v>157955018.38589004</v>
      </c>
      <c r="K67" s="16">
        <f t="shared" si="13"/>
        <v>173750520.22447905</v>
      </c>
      <c r="L67" s="16">
        <f t="shared" si="13"/>
        <v>191125572.24692696</v>
      </c>
      <c r="M67" s="12" t="s">
        <v>19</v>
      </c>
      <c r="N67" s="16">
        <f>L67+(0.1*L67)</f>
        <v>210238129.47161967</v>
      </c>
      <c r="O67" s="16">
        <f>N67+(0.1*N67)</f>
        <v>231261942.41878164</v>
      </c>
      <c r="P67" s="16">
        <f t="shared" si="13"/>
        <v>254388136.6606598</v>
      </c>
      <c r="Q67" s="16">
        <f t="shared" si="13"/>
        <v>279826950.3267258</v>
      </c>
      <c r="R67" s="16">
        <f t="shared" si="13"/>
        <v>307809645.35939837</v>
      </c>
      <c r="S67" s="12" t="s">
        <v>19</v>
      </c>
      <c r="T67" s="16">
        <f>R67+(0.1*R67)</f>
        <v>338590609.8953382</v>
      </c>
      <c r="U67" s="16">
        <f t="shared" si="13"/>
        <v>372449670.884872</v>
      </c>
      <c r="V67" s="16">
        <f t="shared" si="13"/>
        <v>409694637.9733592</v>
      </c>
      <c r="W67" s="16">
        <f t="shared" si="13"/>
        <v>450664101.77069515</v>
      </c>
      <c r="X67" s="16">
        <f t="shared" si="13"/>
        <v>495730511.94776464</v>
      </c>
      <c r="Y67" s="16">
        <f t="shared" si="13"/>
        <v>545303563.142541</v>
      </c>
    </row>
    <row r="68" spans="1:25" ht="15.75">
      <c r="A68" s="12" t="s">
        <v>22</v>
      </c>
      <c r="B68" s="16">
        <v>0</v>
      </c>
      <c r="C68" s="16">
        <f>C67</f>
        <v>89161490</v>
      </c>
      <c r="D68" s="16">
        <f>C68+(0.1*C68)</f>
        <v>98077639</v>
      </c>
      <c r="E68" s="16">
        <f aca="true" t="shared" si="14" ref="E68:Y68">D68+(0.1*D68)</f>
        <v>107885402.9</v>
      </c>
      <c r="F68" s="16">
        <f t="shared" si="14"/>
        <v>118673943.19000001</v>
      </c>
      <c r="G68" s="12" t="s">
        <v>22</v>
      </c>
      <c r="H68" s="16">
        <f>F68+(0.1*F68)</f>
        <v>130541337.50900002</v>
      </c>
      <c r="I68" s="16">
        <f t="shared" si="14"/>
        <v>143595471.25990003</v>
      </c>
      <c r="J68" s="16">
        <f t="shared" si="14"/>
        <v>157955018.38589004</v>
      </c>
      <c r="K68" s="16">
        <f t="shared" si="14"/>
        <v>173750520.22447905</v>
      </c>
      <c r="L68" s="16">
        <f t="shared" si="14"/>
        <v>191125572.24692696</v>
      </c>
      <c r="M68" s="12" t="s">
        <v>22</v>
      </c>
      <c r="N68" s="16">
        <f>L68+(0.1*L68)</f>
        <v>210238129.47161967</v>
      </c>
      <c r="O68" s="16">
        <f>N68+(0.1*N68)</f>
        <v>231261942.41878164</v>
      </c>
      <c r="P68" s="16">
        <f t="shared" si="14"/>
        <v>254388136.6606598</v>
      </c>
      <c r="Q68" s="16">
        <f t="shared" si="14"/>
        <v>279826950.3267258</v>
      </c>
      <c r="R68" s="16">
        <f t="shared" si="14"/>
        <v>307809645.35939837</v>
      </c>
      <c r="S68" s="12" t="s">
        <v>22</v>
      </c>
      <c r="T68" s="16">
        <f>R68+(0.1*R68)</f>
        <v>338590609.8953382</v>
      </c>
      <c r="U68" s="16">
        <f t="shared" si="14"/>
        <v>372449670.884872</v>
      </c>
      <c r="V68" s="16">
        <f t="shared" si="14"/>
        <v>409694637.9733592</v>
      </c>
      <c r="W68" s="16">
        <f t="shared" si="14"/>
        <v>450664101.77069515</v>
      </c>
      <c r="X68" s="16">
        <f t="shared" si="14"/>
        <v>495730511.94776464</v>
      </c>
      <c r="Y68" s="16">
        <f t="shared" si="14"/>
        <v>545303563.142541</v>
      </c>
    </row>
    <row r="69" spans="1:25" ht="15.75">
      <c r="A69" s="12"/>
      <c r="B69" s="16"/>
      <c r="C69" s="16"/>
      <c r="D69" s="16"/>
      <c r="E69" s="16"/>
      <c r="F69" s="16"/>
      <c r="G69" s="12"/>
      <c r="H69" s="16"/>
      <c r="I69" s="16"/>
      <c r="J69" s="16"/>
      <c r="K69" s="16"/>
      <c r="L69" s="16"/>
      <c r="M69" s="12"/>
      <c r="N69" s="16"/>
      <c r="O69" s="16"/>
      <c r="P69" s="16"/>
      <c r="Q69" s="16"/>
      <c r="R69" s="16"/>
      <c r="S69" s="12"/>
      <c r="T69" s="16"/>
      <c r="U69" s="16"/>
      <c r="V69" s="16"/>
      <c r="W69" s="16"/>
      <c r="X69" s="16"/>
      <c r="Y69" s="16"/>
    </row>
    <row r="70" spans="1:25" ht="15.75">
      <c r="A70" s="13" t="s">
        <v>20</v>
      </c>
      <c r="B70" s="16"/>
      <c r="C70" s="16"/>
      <c r="D70" s="16"/>
      <c r="E70" s="16"/>
      <c r="F70" s="16"/>
      <c r="G70" s="13" t="s">
        <v>20</v>
      </c>
      <c r="H70" s="16"/>
      <c r="I70" s="16"/>
      <c r="J70" s="16"/>
      <c r="K70" s="16"/>
      <c r="L70" s="16"/>
      <c r="M70" s="13" t="s">
        <v>20</v>
      </c>
      <c r="N70" s="16"/>
      <c r="O70" s="16"/>
      <c r="P70" s="16"/>
      <c r="Q70" s="16"/>
      <c r="R70" s="16"/>
      <c r="S70" s="13" t="s">
        <v>20</v>
      </c>
      <c r="T70" s="16"/>
      <c r="U70" s="16"/>
      <c r="V70" s="16"/>
      <c r="W70" s="16"/>
      <c r="X70" s="16"/>
      <c r="Y70" s="16"/>
    </row>
    <row r="71" spans="1:25" ht="15.75">
      <c r="A71" s="12" t="s">
        <v>26</v>
      </c>
      <c r="B71" s="16"/>
      <c r="C71" s="16">
        <f>12*'LABA RUGI'!V21</f>
        <v>47071716</v>
      </c>
      <c r="D71" s="16">
        <f>C71+(0.05*C71)</f>
        <v>49425301.8</v>
      </c>
      <c r="E71" s="16">
        <f aca="true" t="shared" si="15" ref="E71:Y71">D71+(0.005*D71)</f>
        <v>49672428.309</v>
      </c>
      <c r="F71" s="16">
        <f t="shared" si="15"/>
        <v>49920790.450545</v>
      </c>
      <c r="G71" s="12" t="s">
        <v>26</v>
      </c>
      <c r="H71" s="16">
        <f>F71+(0.005*F71)</f>
        <v>50170394.40279772</v>
      </c>
      <c r="I71" s="16">
        <f t="shared" si="15"/>
        <v>50421246.37481171</v>
      </c>
      <c r="J71" s="16">
        <f t="shared" si="15"/>
        <v>50673352.606685765</v>
      </c>
      <c r="K71" s="16">
        <f t="shared" si="15"/>
        <v>50926719.36971919</v>
      </c>
      <c r="L71" s="16">
        <f t="shared" si="15"/>
        <v>51181352.96656779</v>
      </c>
      <c r="M71" s="12" t="s">
        <v>21</v>
      </c>
      <c r="N71" s="16">
        <f>L71+(0.005*L71)</f>
        <v>51437259.73140063</v>
      </c>
      <c r="O71" s="16">
        <f>N71+(0.005*N71)</f>
        <v>51694446.03005763</v>
      </c>
      <c r="P71" s="16">
        <f t="shared" si="15"/>
        <v>51952918.26020792</v>
      </c>
      <c r="Q71" s="16">
        <f t="shared" si="15"/>
        <v>52212682.85150896</v>
      </c>
      <c r="R71" s="16">
        <f t="shared" si="15"/>
        <v>52473746.2657665</v>
      </c>
      <c r="S71" s="12" t="s">
        <v>26</v>
      </c>
      <c r="T71" s="16">
        <f>R71+(0.005*R71)</f>
        <v>52736114.99709533</v>
      </c>
      <c r="U71" s="16">
        <f t="shared" si="15"/>
        <v>52999795.572080806</v>
      </c>
      <c r="V71" s="16">
        <f t="shared" si="15"/>
        <v>53264794.54994121</v>
      </c>
      <c r="W71" s="16">
        <f t="shared" si="15"/>
        <v>53531118.522690915</v>
      </c>
      <c r="X71" s="16">
        <f t="shared" si="15"/>
        <v>53798774.115304366</v>
      </c>
      <c r="Y71" s="16">
        <f t="shared" si="15"/>
        <v>54067767.98588089</v>
      </c>
    </row>
    <row r="72" spans="1:25" ht="15.75">
      <c r="A72" s="12" t="s">
        <v>22</v>
      </c>
      <c r="B72" s="16"/>
      <c r="C72" s="16">
        <f>C71</f>
        <v>47071716</v>
      </c>
      <c r="D72" s="16">
        <f>C72+(0.05*C72)</f>
        <v>49425301.8</v>
      </c>
      <c r="E72" s="16">
        <f aca="true" t="shared" si="16" ref="E72:Y72">D72+(0.005*D72)</f>
        <v>49672428.309</v>
      </c>
      <c r="F72" s="16">
        <f t="shared" si="16"/>
        <v>49920790.450545</v>
      </c>
      <c r="G72" s="12" t="s">
        <v>22</v>
      </c>
      <c r="H72" s="16">
        <f>F72+(0.005*F72)</f>
        <v>50170394.40279772</v>
      </c>
      <c r="I72" s="16">
        <f t="shared" si="16"/>
        <v>50421246.37481171</v>
      </c>
      <c r="J72" s="16">
        <f t="shared" si="16"/>
        <v>50673352.606685765</v>
      </c>
      <c r="K72" s="16">
        <f t="shared" si="16"/>
        <v>50926719.36971919</v>
      </c>
      <c r="L72" s="16">
        <f t="shared" si="16"/>
        <v>51181352.96656779</v>
      </c>
      <c r="M72" s="12" t="s">
        <v>22</v>
      </c>
      <c r="N72" s="16">
        <f>L72+(0.005*L72)</f>
        <v>51437259.73140063</v>
      </c>
      <c r="O72" s="16">
        <f>N72+(0.005*N72)</f>
        <v>51694446.03005763</v>
      </c>
      <c r="P72" s="16">
        <f t="shared" si="16"/>
        <v>51952918.26020792</v>
      </c>
      <c r="Q72" s="16">
        <f t="shared" si="16"/>
        <v>52212682.85150896</v>
      </c>
      <c r="R72" s="16">
        <f t="shared" si="16"/>
        <v>52473746.2657665</v>
      </c>
      <c r="S72" s="12" t="s">
        <v>22</v>
      </c>
      <c r="T72" s="16">
        <f>R72+(0.005*R72)</f>
        <v>52736114.99709533</v>
      </c>
      <c r="U72" s="16">
        <f t="shared" si="16"/>
        <v>52999795.572080806</v>
      </c>
      <c r="V72" s="16">
        <f t="shared" si="16"/>
        <v>53264794.54994121</v>
      </c>
      <c r="W72" s="16">
        <f t="shared" si="16"/>
        <v>53531118.522690915</v>
      </c>
      <c r="X72" s="16">
        <f t="shared" si="16"/>
        <v>53798774.115304366</v>
      </c>
      <c r="Y72" s="16">
        <f t="shared" si="16"/>
        <v>54067767.98588089</v>
      </c>
    </row>
    <row r="73" spans="1:25" ht="15.75">
      <c r="A73" s="12"/>
      <c r="B73" s="16"/>
      <c r="C73" s="16"/>
      <c r="D73" s="16"/>
      <c r="E73" s="16"/>
      <c r="F73" s="16"/>
      <c r="G73" s="12"/>
      <c r="H73" s="16"/>
      <c r="I73" s="16"/>
      <c r="J73" s="16"/>
      <c r="K73" s="16"/>
      <c r="L73" s="16"/>
      <c r="M73" s="12"/>
      <c r="N73" s="16"/>
      <c r="O73" s="16"/>
      <c r="P73" s="16"/>
      <c r="Q73" s="16"/>
      <c r="R73" s="16"/>
      <c r="S73" s="12"/>
      <c r="T73" s="16"/>
      <c r="U73" s="16"/>
      <c r="V73" s="16"/>
      <c r="W73" s="16"/>
      <c r="X73" s="16"/>
      <c r="Y73" s="16"/>
    </row>
    <row r="74" spans="1:25" ht="15.75">
      <c r="A74" s="13" t="s">
        <v>23</v>
      </c>
      <c r="B74" s="16"/>
      <c r="C74" s="16"/>
      <c r="D74" s="16"/>
      <c r="E74" s="16"/>
      <c r="F74" s="16"/>
      <c r="G74" s="13" t="s">
        <v>23</v>
      </c>
      <c r="H74" s="16"/>
      <c r="I74" s="16"/>
      <c r="J74" s="16"/>
      <c r="K74" s="16"/>
      <c r="L74" s="16"/>
      <c r="M74" s="13" t="s">
        <v>23</v>
      </c>
      <c r="N74" s="16"/>
      <c r="O74" s="16"/>
      <c r="P74" s="16"/>
      <c r="Q74" s="16"/>
      <c r="R74" s="16"/>
      <c r="S74" s="13" t="s">
        <v>23</v>
      </c>
      <c r="T74" s="16"/>
      <c r="U74" s="16"/>
      <c r="V74" s="16"/>
      <c r="W74" s="16"/>
      <c r="X74" s="16"/>
      <c r="Y74" s="16"/>
    </row>
    <row r="75" spans="1:25" ht="15.75">
      <c r="A75" s="12" t="s">
        <v>100</v>
      </c>
      <c r="B75" s="16">
        <v>371250000</v>
      </c>
      <c r="C75" s="16"/>
      <c r="D75" s="16"/>
      <c r="E75" s="16"/>
      <c r="F75" s="16"/>
      <c r="G75" s="12" t="s">
        <v>100</v>
      </c>
      <c r="H75" s="16"/>
      <c r="I75" s="16"/>
      <c r="J75" s="16"/>
      <c r="K75" s="16"/>
      <c r="L75" s="16"/>
      <c r="M75" s="12" t="s">
        <v>100</v>
      </c>
      <c r="N75" s="16"/>
      <c r="O75" s="16"/>
      <c r="P75" s="16"/>
      <c r="Q75" s="16"/>
      <c r="R75" s="16"/>
      <c r="S75" s="12" t="s">
        <v>100</v>
      </c>
      <c r="T75" s="16"/>
      <c r="U75" s="16"/>
      <c r="V75" s="16"/>
      <c r="W75" s="16"/>
      <c r="X75" s="16"/>
      <c r="Y75" s="16"/>
    </row>
    <row r="76" spans="1:25" ht="15.75">
      <c r="A76" s="12" t="s">
        <v>101</v>
      </c>
      <c r="B76" s="16">
        <v>449829734</v>
      </c>
      <c r="C76" s="16">
        <v>0</v>
      </c>
      <c r="D76" s="16">
        <v>0</v>
      </c>
      <c r="E76" s="16">
        <v>0</v>
      </c>
      <c r="F76" s="16">
        <v>0</v>
      </c>
      <c r="G76" s="12" t="s">
        <v>101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2" t="s">
        <v>101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2" t="s">
        <v>101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</row>
    <row r="77" spans="1:25" ht="15.75">
      <c r="A77" s="12" t="s">
        <v>24</v>
      </c>
      <c r="B77" s="16">
        <v>17052500</v>
      </c>
      <c r="C77" s="16">
        <v>0</v>
      </c>
      <c r="D77" s="16">
        <v>0</v>
      </c>
      <c r="E77" s="16">
        <v>0</v>
      </c>
      <c r="F77" s="16">
        <v>0</v>
      </c>
      <c r="G77" s="12" t="s">
        <v>24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2" t="s">
        <v>24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2" t="s">
        <v>24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</row>
    <row r="78" spans="1:25" ht="15.75">
      <c r="A78" s="14" t="s">
        <v>22</v>
      </c>
      <c r="B78" s="17">
        <f>SUM(B75:B77)</f>
        <v>838132234</v>
      </c>
      <c r="C78" s="17">
        <v>0</v>
      </c>
      <c r="D78" s="17">
        <v>0</v>
      </c>
      <c r="E78" s="17">
        <v>0</v>
      </c>
      <c r="F78" s="17">
        <v>0</v>
      </c>
      <c r="G78" s="14" t="s">
        <v>22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4" t="s">
        <v>22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4" t="s">
        <v>22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</row>
    <row r="79" spans="1:25" ht="15.75">
      <c r="A79" s="19" t="s">
        <v>25</v>
      </c>
      <c r="B79" s="20">
        <f>-B78</f>
        <v>-838132234</v>
      </c>
      <c r="C79" s="20">
        <f aca="true" t="shared" si="17" ref="C79:Y79">C66+C68-C72</f>
        <v>-796042460</v>
      </c>
      <c r="D79" s="20">
        <f t="shared" si="17"/>
        <v>-747390122.8</v>
      </c>
      <c r="E79" s="20">
        <f t="shared" si="17"/>
        <v>-689177148.209</v>
      </c>
      <c r="F79" s="20">
        <f t="shared" si="17"/>
        <v>-620423995.4695449</v>
      </c>
      <c r="G79" s="19" t="s">
        <v>25</v>
      </c>
      <c r="H79" s="20">
        <f t="shared" si="17"/>
        <v>-540053052.3633426</v>
      </c>
      <c r="I79" s="20">
        <f t="shared" si="17"/>
        <v>-446878827.4782543</v>
      </c>
      <c r="J79" s="20">
        <f t="shared" si="17"/>
        <v>-339597161.69905007</v>
      </c>
      <c r="K79" s="20">
        <f t="shared" si="17"/>
        <v>-216773360.8442902</v>
      </c>
      <c r="L79" s="20">
        <f t="shared" si="17"/>
        <v>-76829141.56393102</v>
      </c>
      <c r="M79" s="19" t="s">
        <v>25</v>
      </c>
      <c r="N79" s="20">
        <f t="shared" si="17"/>
        <v>81971728.17628801</v>
      </c>
      <c r="O79" s="20">
        <f t="shared" si="17"/>
        <v>261539224.565012</v>
      </c>
      <c r="P79" s="20">
        <f t="shared" si="17"/>
        <v>463974442.9654639</v>
      </c>
      <c r="Q79" s="20">
        <f t="shared" si="17"/>
        <v>691588710.4406806</v>
      </c>
      <c r="R79" s="20">
        <f t="shared" si="17"/>
        <v>946924609.5343125</v>
      </c>
      <c r="S79" s="19" t="s">
        <v>25</v>
      </c>
      <c r="T79" s="20">
        <f t="shared" si="17"/>
        <v>1232779104.4325554</v>
      </c>
      <c r="U79" s="20">
        <f t="shared" si="17"/>
        <v>1552228979.7453465</v>
      </c>
      <c r="V79" s="20">
        <f t="shared" si="17"/>
        <v>1908658823.1687644</v>
      </c>
      <c r="W79" s="20">
        <f t="shared" si="17"/>
        <v>2305791806.4167686</v>
      </c>
      <c r="X79" s="20">
        <f t="shared" si="17"/>
        <v>2747723544.249229</v>
      </c>
      <c r="Y79" s="20">
        <f t="shared" si="17"/>
        <v>3238959339.405889</v>
      </c>
    </row>
    <row r="93" ht="15.75">
      <c r="A93" s="1" t="s">
        <v>68</v>
      </c>
    </row>
    <row r="95" spans="1:25" ht="15.75">
      <c r="A95" s="9" t="s">
        <v>17</v>
      </c>
      <c r="B95" s="10">
        <v>0</v>
      </c>
      <c r="C95" s="10">
        <v>1</v>
      </c>
      <c r="D95" s="10">
        <v>2</v>
      </c>
      <c r="E95" s="10">
        <v>3</v>
      </c>
      <c r="F95" s="10">
        <v>4</v>
      </c>
      <c r="G95" s="9" t="s">
        <v>17</v>
      </c>
      <c r="H95" s="10">
        <v>5</v>
      </c>
      <c r="I95" s="10">
        <v>6</v>
      </c>
      <c r="J95" s="10">
        <v>7</v>
      </c>
      <c r="K95" s="10">
        <v>8</v>
      </c>
      <c r="L95" s="10">
        <v>9</v>
      </c>
      <c r="M95" s="9" t="s">
        <v>17</v>
      </c>
      <c r="N95" s="10">
        <v>10</v>
      </c>
      <c r="O95" s="10">
        <v>11</v>
      </c>
      <c r="P95" s="10">
        <v>12</v>
      </c>
      <c r="Q95" s="10">
        <v>13</v>
      </c>
      <c r="R95" s="10">
        <v>14</v>
      </c>
      <c r="S95" s="9" t="s">
        <v>17</v>
      </c>
      <c r="T95" s="10">
        <v>15</v>
      </c>
      <c r="U95" s="10">
        <v>16</v>
      </c>
      <c r="V95" s="10">
        <v>17</v>
      </c>
      <c r="W95" s="10">
        <v>18</v>
      </c>
      <c r="X95" s="10">
        <v>19</v>
      </c>
      <c r="Y95" s="10">
        <v>20</v>
      </c>
    </row>
    <row r="96" spans="1:25" ht="15.75">
      <c r="A96" s="11" t="s">
        <v>18</v>
      </c>
      <c r="B96" s="15"/>
      <c r="C96" s="15">
        <f aca="true" t="shared" si="18" ref="C96:Y96">B109</f>
        <v>-838132234</v>
      </c>
      <c r="D96" s="15">
        <f t="shared" si="18"/>
        <v>-805808370</v>
      </c>
      <c r="E96" s="15">
        <f t="shared" si="18"/>
        <v>-767898533.8</v>
      </c>
      <c r="F96" s="15">
        <f t="shared" si="18"/>
        <v>-721502310.309</v>
      </c>
      <c r="G96" s="11" t="s">
        <v>18</v>
      </c>
      <c r="H96" s="15">
        <f>F109</f>
        <v>-665747583.779545</v>
      </c>
      <c r="I96" s="15">
        <f t="shared" si="18"/>
        <v>-599674909.5043427</v>
      </c>
      <c r="J96" s="15">
        <f t="shared" si="18"/>
        <v>-522228780.3333544</v>
      </c>
      <c r="K96" s="15">
        <f t="shared" si="18"/>
        <v>-432248019.83966017</v>
      </c>
      <c r="L96" s="15">
        <f t="shared" si="18"/>
        <v>-328455214.7989614</v>
      </c>
      <c r="M96" s="11" t="s">
        <v>18</v>
      </c>
      <c r="N96" s="15">
        <f>L109</f>
        <v>-209445090.9140694</v>
      </c>
      <c r="O96" s="15">
        <f>N109</f>
        <v>-73671726.1088643</v>
      </c>
      <c r="P96" s="15">
        <f t="shared" si="18"/>
        <v>80565514.85134438</v>
      </c>
      <c r="Q96" s="18">
        <f t="shared" si="18"/>
        <v>255137452.28042945</v>
      </c>
      <c r="R96" s="18">
        <f t="shared" si="18"/>
        <v>452102110.6871427</v>
      </c>
      <c r="S96" s="11" t="s">
        <v>18</v>
      </c>
      <c r="T96" s="18">
        <f>R109</f>
        <v>673723439.8054208</v>
      </c>
      <c r="U96" s="18">
        <f t="shared" si="18"/>
        <v>922491907.7307744</v>
      </c>
      <c r="V96" s="18">
        <f t="shared" si="18"/>
        <v>1201147153.3733876</v>
      </c>
      <c r="W96" s="18">
        <f t="shared" si="18"/>
        <v>1512702904.1596096</v>
      </c>
      <c r="X96" s="18">
        <f t="shared" si="18"/>
        <v>1860474385.5066981</v>
      </c>
      <c r="Y96" s="18">
        <f t="shared" si="18"/>
        <v>2248108471.2481513</v>
      </c>
    </row>
    <row r="97" spans="1:25" ht="15.75">
      <c r="A97" s="12" t="s">
        <v>19</v>
      </c>
      <c r="B97" s="16">
        <v>0</v>
      </c>
      <c r="C97" s="16">
        <f>12.683*'LABA RUGI'!V37</f>
        <v>79395580</v>
      </c>
      <c r="D97" s="16">
        <f>C97+(0.1*C97)</f>
        <v>87335138</v>
      </c>
      <c r="E97" s="16">
        <f aca="true" t="shared" si="19" ref="E97:Y97">D97+(0.1*D97)</f>
        <v>96068651.8</v>
      </c>
      <c r="F97" s="16">
        <f t="shared" si="19"/>
        <v>105675516.97999999</v>
      </c>
      <c r="G97" s="12" t="s">
        <v>19</v>
      </c>
      <c r="H97" s="16">
        <f>F97+(0.1*F97)</f>
        <v>116243068.67799999</v>
      </c>
      <c r="I97" s="16">
        <f t="shared" si="19"/>
        <v>127867375.54579999</v>
      </c>
      <c r="J97" s="16">
        <f t="shared" si="19"/>
        <v>140654113.10037997</v>
      </c>
      <c r="K97" s="16">
        <f t="shared" si="19"/>
        <v>154719524.41041797</v>
      </c>
      <c r="L97" s="16">
        <f t="shared" si="19"/>
        <v>170191476.85145977</v>
      </c>
      <c r="M97" s="12" t="s">
        <v>19</v>
      </c>
      <c r="N97" s="16">
        <f>L97+(0.1*L97)</f>
        <v>187210624.53660575</v>
      </c>
      <c r="O97" s="16">
        <f>N97+(0.1*N97)</f>
        <v>205931686.99026632</v>
      </c>
      <c r="P97" s="16">
        <f t="shared" si="19"/>
        <v>226524855.68929297</v>
      </c>
      <c r="Q97" s="16">
        <f t="shared" si="19"/>
        <v>249177341.25822228</v>
      </c>
      <c r="R97" s="16">
        <f t="shared" si="19"/>
        <v>274095075.3840445</v>
      </c>
      <c r="S97" s="12" t="s">
        <v>19</v>
      </c>
      <c r="T97" s="16">
        <f>R97+(0.1*R97)</f>
        <v>301504582.922449</v>
      </c>
      <c r="U97" s="16">
        <f t="shared" si="19"/>
        <v>331655041.2146939</v>
      </c>
      <c r="V97" s="16">
        <f t="shared" si="19"/>
        <v>364820545.3361633</v>
      </c>
      <c r="W97" s="16">
        <f t="shared" si="19"/>
        <v>401302599.8697796</v>
      </c>
      <c r="X97" s="16">
        <f t="shared" si="19"/>
        <v>441432859.8567575</v>
      </c>
      <c r="Y97" s="16">
        <f t="shared" si="19"/>
        <v>485576145.8424333</v>
      </c>
    </row>
    <row r="98" spans="1:25" ht="15.75">
      <c r="A98" s="12" t="s">
        <v>22</v>
      </c>
      <c r="B98" s="16">
        <v>0</v>
      </c>
      <c r="C98" s="16">
        <f>C97</f>
        <v>79395580</v>
      </c>
      <c r="D98" s="16">
        <f>C98+(0.1*C98)</f>
        <v>87335138</v>
      </c>
      <c r="E98" s="16">
        <f aca="true" t="shared" si="20" ref="E98:Y98">D98+(0.1*D98)</f>
        <v>96068651.8</v>
      </c>
      <c r="F98" s="16">
        <f t="shared" si="20"/>
        <v>105675516.97999999</v>
      </c>
      <c r="G98" s="12" t="s">
        <v>22</v>
      </c>
      <c r="H98" s="16">
        <f>F98+(0.1*F98)</f>
        <v>116243068.67799999</v>
      </c>
      <c r="I98" s="16">
        <f t="shared" si="20"/>
        <v>127867375.54579999</v>
      </c>
      <c r="J98" s="16">
        <f t="shared" si="20"/>
        <v>140654113.10037997</v>
      </c>
      <c r="K98" s="16">
        <f t="shared" si="20"/>
        <v>154719524.41041797</v>
      </c>
      <c r="L98" s="16">
        <f t="shared" si="20"/>
        <v>170191476.85145977</v>
      </c>
      <c r="M98" s="12" t="s">
        <v>22</v>
      </c>
      <c r="N98" s="16">
        <f>L98+(0.1*L98)</f>
        <v>187210624.53660575</v>
      </c>
      <c r="O98" s="16">
        <f>N98+(0.1*N98)</f>
        <v>205931686.99026632</v>
      </c>
      <c r="P98" s="16">
        <f t="shared" si="20"/>
        <v>226524855.68929297</v>
      </c>
      <c r="Q98" s="16">
        <f t="shared" si="20"/>
        <v>249177341.25822228</v>
      </c>
      <c r="R98" s="16">
        <f t="shared" si="20"/>
        <v>274095075.3840445</v>
      </c>
      <c r="S98" s="12" t="s">
        <v>22</v>
      </c>
      <c r="T98" s="16">
        <f>R98+(0.1*R98)</f>
        <v>301504582.922449</v>
      </c>
      <c r="U98" s="16">
        <f t="shared" si="20"/>
        <v>331655041.2146939</v>
      </c>
      <c r="V98" s="16">
        <f t="shared" si="20"/>
        <v>364820545.3361633</v>
      </c>
      <c r="W98" s="16">
        <f t="shared" si="20"/>
        <v>401302599.8697796</v>
      </c>
      <c r="X98" s="16">
        <f t="shared" si="20"/>
        <v>441432859.8567575</v>
      </c>
      <c r="Y98" s="16">
        <f t="shared" si="20"/>
        <v>485576145.8424333</v>
      </c>
    </row>
    <row r="99" spans="1:25" ht="15.75">
      <c r="A99" s="12"/>
      <c r="B99" s="16"/>
      <c r="C99" s="16"/>
      <c r="D99" s="16"/>
      <c r="E99" s="16"/>
      <c r="F99" s="16"/>
      <c r="G99" s="12"/>
      <c r="H99" s="16"/>
      <c r="I99" s="16"/>
      <c r="J99" s="16"/>
      <c r="K99" s="16"/>
      <c r="L99" s="16"/>
      <c r="M99" s="12"/>
      <c r="N99" s="16"/>
      <c r="O99" s="16"/>
      <c r="P99" s="16"/>
      <c r="Q99" s="16"/>
      <c r="R99" s="16"/>
      <c r="S99" s="12"/>
      <c r="T99" s="16"/>
      <c r="U99" s="16"/>
      <c r="V99" s="16"/>
      <c r="W99" s="16"/>
      <c r="X99" s="16"/>
      <c r="Y99" s="16"/>
    </row>
    <row r="100" spans="1:25" ht="15.75">
      <c r="A100" s="13" t="s">
        <v>20</v>
      </c>
      <c r="B100" s="16"/>
      <c r="C100" s="16"/>
      <c r="D100" s="16"/>
      <c r="E100" s="16"/>
      <c r="F100" s="16"/>
      <c r="G100" s="13" t="s">
        <v>20</v>
      </c>
      <c r="H100" s="16"/>
      <c r="I100" s="16"/>
      <c r="J100" s="16"/>
      <c r="K100" s="16"/>
      <c r="L100" s="16"/>
      <c r="M100" s="13" t="s">
        <v>20</v>
      </c>
      <c r="N100" s="16"/>
      <c r="O100" s="16"/>
      <c r="P100" s="16"/>
      <c r="Q100" s="16"/>
      <c r="R100" s="16"/>
      <c r="S100" s="13" t="s">
        <v>20</v>
      </c>
      <c r="T100" s="16"/>
      <c r="U100" s="16"/>
      <c r="V100" s="16"/>
      <c r="W100" s="16"/>
      <c r="X100" s="16"/>
      <c r="Y100" s="16"/>
    </row>
    <row r="101" spans="1:25" ht="15.75">
      <c r="A101" s="12" t="s">
        <v>26</v>
      </c>
      <c r="B101" s="16"/>
      <c r="C101" s="16">
        <f>12*'LABA RUGI'!V49</f>
        <v>47071716</v>
      </c>
      <c r="D101" s="16">
        <f>C101+(0.05*C101)</f>
        <v>49425301.8</v>
      </c>
      <c r="E101" s="16">
        <f aca="true" t="shared" si="21" ref="E101:Y101">D101+(0.005*D101)</f>
        <v>49672428.309</v>
      </c>
      <c r="F101" s="16">
        <f t="shared" si="21"/>
        <v>49920790.450545</v>
      </c>
      <c r="G101" s="12" t="s">
        <v>26</v>
      </c>
      <c r="H101" s="16">
        <f>F101+(0.005*F101)</f>
        <v>50170394.40279772</v>
      </c>
      <c r="I101" s="16">
        <f t="shared" si="21"/>
        <v>50421246.37481171</v>
      </c>
      <c r="J101" s="16">
        <f t="shared" si="21"/>
        <v>50673352.606685765</v>
      </c>
      <c r="K101" s="16">
        <f t="shared" si="21"/>
        <v>50926719.36971919</v>
      </c>
      <c r="L101" s="16">
        <f t="shared" si="21"/>
        <v>51181352.96656779</v>
      </c>
      <c r="M101" s="12" t="s">
        <v>21</v>
      </c>
      <c r="N101" s="16">
        <f>L101+(0.005*L101)</f>
        <v>51437259.73140063</v>
      </c>
      <c r="O101" s="16">
        <f>N101+(0.005*N101)</f>
        <v>51694446.03005763</v>
      </c>
      <c r="P101" s="16">
        <f t="shared" si="21"/>
        <v>51952918.26020792</v>
      </c>
      <c r="Q101" s="16">
        <f t="shared" si="21"/>
        <v>52212682.85150896</v>
      </c>
      <c r="R101" s="16">
        <f t="shared" si="21"/>
        <v>52473746.2657665</v>
      </c>
      <c r="S101" s="12" t="s">
        <v>26</v>
      </c>
      <c r="T101" s="16">
        <f>R101+(0.005*R101)</f>
        <v>52736114.99709533</v>
      </c>
      <c r="U101" s="16">
        <f t="shared" si="21"/>
        <v>52999795.572080806</v>
      </c>
      <c r="V101" s="16">
        <f t="shared" si="21"/>
        <v>53264794.54994121</v>
      </c>
      <c r="W101" s="16">
        <f t="shared" si="21"/>
        <v>53531118.522690915</v>
      </c>
      <c r="X101" s="16">
        <f t="shared" si="21"/>
        <v>53798774.115304366</v>
      </c>
      <c r="Y101" s="16">
        <f t="shared" si="21"/>
        <v>54067767.98588089</v>
      </c>
    </row>
    <row r="102" spans="1:25" ht="15.75">
      <c r="A102" s="12" t="s">
        <v>22</v>
      </c>
      <c r="B102" s="16"/>
      <c r="C102" s="16">
        <f>C101</f>
        <v>47071716</v>
      </c>
      <c r="D102" s="16">
        <f>C102+(0.05*C102)</f>
        <v>49425301.8</v>
      </c>
      <c r="E102" s="16">
        <f aca="true" t="shared" si="22" ref="E102:Y102">D102+(0.005*D102)</f>
        <v>49672428.309</v>
      </c>
      <c r="F102" s="16">
        <f t="shared" si="22"/>
        <v>49920790.450545</v>
      </c>
      <c r="G102" s="12" t="s">
        <v>22</v>
      </c>
      <c r="H102" s="16">
        <f>F102+(0.005*F102)</f>
        <v>50170394.40279772</v>
      </c>
      <c r="I102" s="16">
        <f t="shared" si="22"/>
        <v>50421246.37481171</v>
      </c>
      <c r="J102" s="16">
        <f t="shared" si="22"/>
        <v>50673352.606685765</v>
      </c>
      <c r="K102" s="16">
        <f t="shared" si="22"/>
        <v>50926719.36971919</v>
      </c>
      <c r="L102" s="16">
        <f t="shared" si="22"/>
        <v>51181352.96656779</v>
      </c>
      <c r="M102" s="12" t="s">
        <v>22</v>
      </c>
      <c r="N102" s="16">
        <f>L102+(0.005*L102)</f>
        <v>51437259.73140063</v>
      </c>
      <c r="O102" s="16">
        <f>N102+(0.005*N102)</f>
        <v>51694446.03005763</v>
      </c>
      <c r="P102" s="16">
        <f t="shared" si="22"/>
        <v>51952918.26020792</v>
      </c>
      <c r="Q102" s="16">
        <f t="shared" si="22"/>
        <v>52212682.85150896</v>
      </c>
      <c r="R102" s="16">
        <f t="shared" si="22"/>
        <v>52473746.2657665</v>
      </c>
      <c r="S102" s="12" t="s">
        <v>22</v>
      </c>
      <c r="T102" s="16">
        <f>R102+(0.005*R102)</f>
        <v>52736114.99709533</v>
      </c>
      <c r="U102" s="16">
        <f t="shared" si="22"/>
        <v>52999795.572080806</v>
      </c>
      <c r="V102" s="16">
        <f t="shared" si="22"/>
        <v>53264794.54994121</v>
      </c>
      <c r="W102" s="16">
        <f t="shared" si="22"/>
        <v>53531118.522690915</v>
      </c>
      <c r="X102" s="16">
        <f t="shared" si="22"/>
        <v>53798774.115304366</v>
      </c>
      <c r="Y102" s="16">
        <f t="shared" si="22"/>
        <v>54067767.98588089</v>
      </c>
    </row>
    <row r="103" spans="1:25" ht="15.75">
      <c r="A103" s="12"/>
      <c r="B103" s="16"/>
      <c r="C103" s="16"/>
      <c r="D103" s="16"/>
      <c r="E103" s="16"/>
      <c r="F103" s="16"/>
      <c r="G103" s="12"/>
      <c r="H103" s="16"/>
      <c r="I103" s="16"/>
      <c r="J103" s="16"/>
      <c r="K103" s="16"/>
      <c r="L103" s="16"/>
      <c r="M103" s="12"/>
      <c r="N103" s="16"/>
      <c r="O103" s="16"/>
      <c r="P103" s="16"/>
      <c r="Q103" s="16"/>
      <c r="R103" s="16"/>
      <c r="S103" s="12"/>
      <c r="T103" s="16"/>
      <c r="U103" s="16"/>
      <c r="V103" s="16"/>
      <c r="W103" s="16"/>
      <c r="X103" s="16"/>
      <c r="Y103" s="16"/>
    </row>
    <row r="104" spans="1:25" ht="15.75">
      <c r="A104" s="13" t="s">
        <v>23</v>
      </c>
      <c r="B104" s="16"/>
      <c r="C104" s="16"/>
      <c r="D104" s="16"/>
      <c r="E104" s="16"/>
      <c r="F104" s="16"/>
      <c r="G104" s="13" t="s">
        <v>23</v>
      </c>
      <c r="H104" s="16"/>
      <c r="I104" s="16"/>
      <c r="J104" s="16"/>
      <c r="K104" s="16"/>
      <c r="L104" s="16"/>
      <c r="M104" s="13" t="s">
        <v>23</v>
      </c>
      <c r="N104" s="16"/>
      <c r="O104" s="16"/>
      <c r="P104" s="16"/>
      <c r="Q104" s="16"/>
      <c r="R104" s="16"/>
      <c r="S104" s="13" t="s">
        <v>23</v>
      </c>
      <c r="T104" s="16"/>
      <c r="U104" s="16"/>
      <c r="V104" s="16"/>
      <c r="W104" s="16"/>
      <c r="X104" s="16"/>
      <c r="Y104" s="16"/>
    </row>
    <row r="105" spans="1:25" ht="15.75">
      <c r="A105" s="12" t="s">
        <v>100</v>
      </c>
      <c r="B105" s="16">
        <v>371250000</v>
      </c>
      <c r="C105" s="16"/>
      <c r="D105" s="16"/>
      <c r="E105" s="16"/>
      <c r="F105" s="16"/>
      <c r="G105" s="12" t="s">
        <v>100</v>
      </c>
      <c r="H105" s="16"/>
      <c r="I105" s="16"/>
      <c r="J105" s="16"/>
      <c r="K105" s="16"/>
      <c r="L105" s="16"/>
      <c r="M105" s="12" t="s">
        <v>100</v>
      </c>
      <c r="N105" s="16"/>
      <c r="O105" s="16"/>
      <c r="P105" s="16"/>
      <c r="Q105" s="16"/>
      <c r="R105" s="16"/>
      <c r="S105" s="12" t="s">
        <v>100</v>
      </c>
      <c r="T105" s="16"/>
      <c r="U105" s="16"/>
      <c r="V105" s="16"/>
      <c r="W105" s="16"/>
      <c r="X105" s="16"/>
      <c r="Y105" s="16"/>
    </row>
    <row r="106" spans="1:25" ht="15.75">
      <c r="A106" s="12" t="s">
        <v>101</v>
      </c>
      <c r="B106" s="16">
        <v>449829734</v>
      </c>
      <c r="C106" s="16">
        <v>0</v>
      </c>
      <c r="D106" s="16">
        <v>0</v>
      </c>
      <c r="E106" s="16">
        <v>0</v>
      </c>
      <c r="F106" s="16">
        <v>0</v>
      </c>
      <c r="G106" s="12" t="s">
        <v>101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2" t="s">
        <v>101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2" t="s">
        <v>101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</row>
    <row r="107" spans="1:25" ht="15.75">
      <c r="A107" s="12" t="s">
        <v>24</v>
      </c>
      <c r="B107" s="16">
        <v>17052500</v>
      </c>
      <c r="C107" s="16">
        <v>0</v>
      </c>
      <c r="D107" s="16">
        <v>0</v>
      </c>
      <c r="E107" s="16">
        <v>0</v>
      </c>
      <c r="F107" s="16">
        <v>0</v>
      </c>
      <c r="G107" s="12" t="s">
        <v>24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2" t="s">
        <v>24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2" t="s">
        <v>24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</row>
    <row r="108" spans="1:25" ht="15.75">
      <c r="A108" s="14" t="s">
        <v>22</v>
      </c>
      <c r="B108" s="17">
        <f>SUM(B105:B107)</f>
        <v>838132234</v>
      </c>
      <c r="C108" s="17">
        <v>0</v>
      </c>
      <c r="D108" s="17">
        <v>0</v>
      </c>
      <c r="E108" s="17">
        <v>0</v>
      </c>
      <c r="F108" s="17">
        <v>0</v>
      </c>
      <c r="G108" s="14" t="s">
        <v>22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4" t="s">
        <v>22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4" t="s">
        <v>22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</row>
    <row r="109" spans="1:25" ht="15.75">
      <c r="A109" s="19" t="s">
        <v>25</v>
      </c>
      <c r="B109" s="20">
        <f>-B108</f>
        <v>-838132234</v>
      </c>
      <c r="C109" s="20">
        <f aca="true" t="shared" si="23" ref="C109:Y109">C96+C98-C102</f>
        <v>-805808370</v>
      </c>
      <c r="D109" s="20">
        <f t="shared" si="23"/>
        <v>-767898533.8</v>
      </c>
      <c r="E109" s="20">
        <f t="shared" si="23"/>
        <v>-721502310.309</v>
      </c>
      <c r="F109" s="20">
        <f t="shared" si="23"/>
        <v>-665747583.779545</v>
      </c>
      <c r="G109" s="19" t="s">
        <v>25</v>
      </c>
      <c r="H109" s="20">
        <f t="shared" si="23"/>
        <v>-599674909.5043427</v>
      </c>
      <c r="I109" s="20">
        <f t="shared" si="23"/>
        <v>-522228780.3333544</v>
      </c>
      <c r="J109" s="20">
        <f t="shared" si="23"/>
        <v>-432248019.83966017</v>
      </c>
      <c r="K109" s="20">
        <f t="shared" si="23"/>
        <v>-328455214.7989614</v>
      </c>
      <c r="L109" s="20">
        <f t="shared" si="23"/>
        <v>-209445090.9140694</v>
      </c>
      <c r="M109" s="19" t="s">
        <v>25</v>
      </c>
      <c r="N109" s="20">
        <f t="shared" si="23"/>
        <v>-73671726.1088643</v>
      </c>
      <c r="O109" s="20">
        <f t="shared" si="23"/>
        <v>80565514.85134438</v>
      </c>
      <c r="P109" s="20">
        <f t="shared" si="23"/>
        <v>255137452.28042945</v>
      </c>
      <c r="Q109" s="20">
        <f t="shared" si="23"/>
        <v>452102110.6871427</v>
      </c>
      <c r="R109" s="20">
        <f t="shared" si="23"/>
        <v>673723439.8054208</v>
      </c>
      <c r="S109" s="19" t="s">
        <v>25</v>
      </c>
      <c r="T109" s="20">
        <f t="shared" si="23"/>
        <v>922491907.7307744</v>
      </c>
      <c r="U109" s="20">
        <f t="shared" si="23"/>
        <v>1201147153.3733876</v>
      </c>
      <c r="V109" s="20">
        <f t="shared" si="23"/>
        <v>1512702904.1596096</v>
      </c>
      <c r="W109" s="20">
        <f t="shared" si="23"/>
        <v>1860474385.5066981</v>
      </c>
      <c r="X109" s="20">
        <f t="shared" si="23"/>
        <v>2248108471.2481513</v>
      </c>
      <c r="Y109" s="20">
        <f t="shared" si="23"/>
        <v>2679616849.104704</v>
      </c>
    </row>
  </sheetData>
  <mergeCells count="2">
    <mergeCell ref="A31:F31"/>
    <mergeCell ref="A3:F3"/>
  </mergeCells>
  <printOptions horizontalCentered="1" verticalCentered="1"/>
  <pageMargins left="0.58" right="0.84" top="1.44" bottom="0.984251968503937" header="0.5118110236220472" footer="0.5118110236220472"/>
  <pageSetup orientation="landscape" paperSize="9" scale="90" r:id="rId1"/>
  <colBreaks count="3" manualBreakCount="3">
    <brk id="12" max="105" man="1"/>
    <brk id="18" max="105" man="1"/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2"/>
  <sheetViews>
    <sheetView tabSelected="1" workbookViewId="0" topLeftCell="A16">
      <selection activeCell="A29" sqref="A29:E52"/>
    </sheetView>
  </sheetViews>
  <sheetFormatPr defaultColWidth="9.140625" defaultRowHeight="12.75"/>
  <cols>
    <col min="1" max="1" width="26.28125" style="1" bestFit="1" customWidth="1"/>
    <col min="2" max="2" width="17.140625" style="1" bestFit="1" customWidth="1"/>
    <col min="3" max="3" width="9.140625" style="1" customWidth="1"/>
    <col min="4" max="4" width="26.421875" style="1" bestFit="1" customWidth="1"/>
    <col min="5" max="5" width="17.421875" style="1" customWidth="1"/>
    <col min="6" max="9" width="9.140625" style="1" customWidth="1"/>
    <col min="10" max="10" width="26.28125" style="1" bestFit="1" customWidth="1"/>
    <col min="11" max="11" width="17.140625" style="1" bestFit="1" customWidth="1"/>
    <col min="12" max="12" width="9.140625" style="1" customWidth="1"/>
    <col min="13" max="13" width="26.28125" style="1" bestFit="1" customWidth="1"/>
    <col min="14" max="14" width="16.8515625" style="1" bestFit="1" customWidth="1"/>
    <col min="15" max="17" width="9.140625" style="1" customWidth="1"/>
    <col min="18" max="18" width="26.28125" style="1" bestFit="1" customWidth="1"/>
    <col min="19" max="19" width="16.8515625" style="1" bestFit="1" customWidth="1"/>
    <col min="20" max="20" width="9.140625" style="1" customWidth="1"/>
    <col min="21" max="21" width="26.28125" style="1" bestFit="1" customWidth="1"/>
    <col min="22" max="22" width="16.8515625" style="1" bestFit="1" customWidth="1"/>
    <col min="23" max="25" width="9.140625" style="1" customWidth="1"/>
    <col min="26" max="26" width="26.28125" style="1" bestFit="1" customWidth="1"/>
    <col min="27" max="27" width="18.140625" style="1" customWidth="1"/>
    <col min="28" max="16384" width="9.140625" style="1" customWidth="1"/>
  </cols>
  <sheetData>
    <row r="1" spans="1:4" ht="15.75">
      <c r="A1" s="7" t="s">
        <v>138</v>
      </c>
      <c r="B1" s="39"/>
      <c r="C1" s="39"/>
      <c r="D1" s="39"/>
    </row>
    <row r="3" ht="15.75">
      <c r="A3" s="1" t="s">
        <v>139</v>
      </c>
    </row>
    <row r="5" spans="1:26" ht="15.75">
      <c r="A5" s="1" t="s">
        <v>31</v>
      </c>
      <c r="D5" s="1" t="s">
        <v>34</v>
      </c>
      <c r="J5" s="1" t="s">
        <v>37</v>
      </c>
      <c r="M5" s="1" t="s">
        <v>40</v>
      </c>
      <c r="R5" s="1" t="s">
        <v>43</v>
      </c>
      <c r="U5" s="1" t="s">
        <v>46</v>
      </c>
      <c r="Z5" s="1" t="s">
        <v>49</v>
      </c>
    </row>
    <row r="6" spans="1:27" ht="15.75">
      <c r="A6" s="9" t="s">
        <v>19</v>
      </c>
      <c r="B6" s="20">
        <f>'CASH FLOW'!C7</f>
        <v>108693310</v>
      </c>
      <c r="D6" s="9" t="s">
        <v>19</v>
      </c>
      <c r="E6" s="20">
        <f>'CASH FLOW'!F7</f>
        <v>144670795.60999998</v>
      </c>
      <c r="J6" s="9" t="s">
        <v>19</v>
      </c>
      <c r="K6" s="20">
        <f>'CASH FLOW'!J7</f>
        <v>192556828.95690998</v>
      </c>
      <c r="M6" s="9" t="s">
        <v>19</v>
      </c>
      <c r="N6" s="20">
        <f>'CASH FLOW'!N7</f>
        <v>256293139.3416472</v>
      </c>
      <c r="R6" s="9" t="s">
        <v>19</v>
      </c>
      <c r="S6" s="20">
        <f>'CASH FLOW'!Q7</f>
        <v>341126168.46373236</v>
      </c>
      <c r="U6" s="9" t="s">
        <v>19</v>
      </c>
      <c r="V6" s="20">
        <f>'CASH FLOW'!U7</f>
        <v>454038930.22522783</v>
      </c>
      <c r="Z6" s="9" t="s">
        <v>19</v>
      </c>
      <c r="AA6" s="20">
        <f>'CASH FLOW'!X7</f>
        <v>604325816.1297783</v>
      </c>
    </row>
    <row r="7" spans="1:27" ht="16.5" thickBot="1">
      <c r="A7" s="9" t="s">
        <v>26</v>
      </c>
      <c r="B7" s="30">
        <f>-'LABA RUGI'!I21*12</f>
        <v>-47071716</v>
      </c>
      <c r="D7" s="9" t="s">
        <v>26</v>
      </c>
      <c r="E7" s="30">
        <f>-'CASH FLOW'!F11</f>
        <v>-49920790.450545</v>
      </c>
      <c r="J7" s="9" t="s">
        <v>26</v>
      </c>
      <c r="K7" s="30">
        <f>-'CASH FLOW'!J11</f>
        <v>-50673352.606685765</v>
      </c>
      <c r="M7" s="9" t="s">
        <v>26</v>
      </c>
      <c r="N7" s="30">
        <f>-'CASH FLOW'!N11</f>
        <v>-51437259.73140063</v>
      </c>
      <c r="R7" s="9" t="s">
        <v>26</v>
      </c>
      <c r="S7" s="30">
        <f>-'CASH FLOW'!Q11</f>
        <v>-52212682.85150896</v>
      </c>
      <c r="U7" s="9" t="s">
        <v>26</v>
      </c>
      <c r="V7" s="30">
        <f>-'CASH FLOW'!U11</f>
        <v>-52999795.572080806</v>
      </c>
      <c r="Z7" s="9" t="s">
        <v>26</v>
      </c>
      <c r="AA7" s="30">
        <f>-'CASH FLOW'!X12</f>
        <v>-53798774.115304366</v>
      </c>
    </row>
    <row r="8" spans="1:27" ht="15.75">
      <c r="A8" s="9" t="s">
        <v>27</v>
      </c>
      <c r="B8" s="17">
        <f>SUM(B6:B7)</f>
        <v>61621594</v>
      </c>
      <c r="D8" s="9" t="s">
        <v>27</v>
      </c>
      <c r="E8" s="17">
        <f>SUM(E6:E7)</f>
        <v>94750005.15945499</v>
      </c>
      <c r="J8" s="9" t="s">
        <v>27</v>
      </c>
      <c r="K8" s="17">
        <f>SUM(K6:K7)</f>
        <v>141883476.35022423</v>
      </c>
      <c r="M8" s="9" t="s">
        <v>27</v>
      </c>
      <c r="N8" s="17">
        <f>SUM(N6:N7)</f>
        <v>204855879.61024657</v>
      </c>
      <c r="R8" s="9" t="s">
        <v>27</v>
      </c>
      <c r="S8" s="17">
        <f>SUM(S6:S7)</f>
        <v>288913485.6122234</v>
      </c>
      <c r="U8" s="9" t="s">
        <v>27</v>
      </c>
      <c r="V8" s="17">
        <f>SUM(V6:V7)</f>
        <v>401039134.65314704</v>
      </c>
      <c r="Z8" s="9" t="s">
        <v>27</v>
      </c>
      <c r="AA8" s="17">
        <f>SUM(AA6:AA7)</f>
        <v>550527042.0144739</v>
      </c>
    </row>
    <row r="9" spans="1:27" ht="16.5" thickBot="1">
      <c r="A9" s="9" t="s">
        <v>28</v>
      </c>
      <c r="B9" s="30">
        <f>0.1*B8*-1</f>
        <v>-6162159.4</v>
      </c>
      <c r="D9" s="9" t="s">
        <v>28</v>
      </c>
      <c r="E9" s="30">
        <f>0.1*E8*-1</f>
        <v>-9475000.5159455</v>
      </c>
      <c r="J9" s="9" t="s">
        <v>28</v>
      </c>
      <c r="K9" s="30">
        <f>0.1*K8*-1</f>
        <v>-14188347.635022424</v>
      </c>
      <c r="M9" s="9" t="s">
        <v>28</v>
      </c>
      <c r="N9" s="30">
        <f>0.1*N8*-1</f>
        <v>-20485587.961024657</v>
      </c>
      <c r="R9" s="9" t="s">
        <v>28</v>
      </c>
      <c r="S9" s="30">
        <f>0.1*S8*-1</f>
        <v>-28891348.56122234</v>
      </c>
      <c r="U9" s="9" t="s">
        <v>28</v>
      </c>
      <c r="V9" s="30">
        <f>0.1*V8*-1</f>
        <v>-40103913.46531471</v>
      </c>
      <c r="Z9" s="9" t="s">
        <v>28</v>
      </c>
      <c r="AA9" s="30">
        <f>0.1*AA8*-1</f>
        <v>-55052704.2014474</v>
      </c>
    </row>
    <row r="10" spans="1:27" ht="15.75">
      <c r="A10" s="9" t="s">
        <v>29</v>
      </c>
      <c r="B10" s="27">
        <f>SUM(B8:B9)</f>
        <v>55459434.6</v>
      </c>
      <c r="D10" s="9" t="s">
        <v>29</v>
      </c>
      <c r="E10" s="27">
        <f>SUM(E8:E9)</f>
        <v>85275004.64350949</v>
      </c>
      <c r="J10" s="9" t="s">
        <v>29</v>
      </c>
      <c r="K10" s="27">
        <f>SUM(K8:K9)</f>
        <v>127695128.7152018</v>
      </c>
      <c r="M10" s="9" t="s">
        <v>29</v>
      </c>
      <c r="N10" s="27">
        <f>SUM(N8:N9)</f>
        <v>184370291.6492219</v>
      </c>
      <c r="R10" s="9" t="s">
        <v>29</v>
      </c>
      <c r="S10" s="27">
        <f>SUM(S8:S9)</f>
        <v>260022137.05100104</v>
      </c>
      <c r="U10" s="9" t="s">
        <v>29</v>
      </c>
      <c r="V10" s="27">
        <f>SUM(V8:V9)</f>
        <v>360935221.18783236</v>
      </c>
      <c r="Z10" s="9" t="s">
        <v>29</v>
      </c>
      <c r="AA10" s="27">
        <f>SUM(AA8:AA9)</f>
        <v>495474337.81302655</v>
      </c>
    </row>
    <row r="11" spans="2:27" ht="15.75">
      <c r="B11" s="8"/>
      <c r="E11" s="8"/>
      <c r="K11" s="8"/>
      <c r="N11" s="8"/>
      <c r="S11" s="8"/>
      <c r="V11" s="8"/>
      <c r="AA11" s="8"/>
    </row>
    <row r="12" spans="1:26" ht="15.75">
      <c r="A12" s="1" t="s">
        <v>32</v>
      </c>
      <c r="D12" s="1" t="s">
        <v>35</v>
      </c>
      <c r="J12" s="1" t="s">
        <v>38</v>
      </c>
      <c r="M12" s="1" t="s">
        <v>41</v>
      </c>
      <c r="R12" s="1" t="s">
        <v>44</v>
      </c>
      <c r="U12" s="1" t="s">
        <v>47</v>
      </c>
      <c r="Z12" s="1" t="s">
        <v>50</v>
      </c>
    </row>
    <row r="13" spans="1:27" ht="15.75">
      <c r="A13" s="9" t="s">
        <v>19</v>
      </c>
      <c r="B13" s="20">
        <f>'CASH FLOW'!D7</f>
        <v>119562641</v>
      </c>
      <c r="D13" s="9" t="s">
        <v>19</v>
      </c>
      <c r="E13" s="20">
        <f>'CASH FLOW'!H7</f>
        <v>159137875.17099997</v>
      </c>
      <c r="J13" s="9" t="s">
        <v>19</v>
      </c>
      <c r="K13" s="20">
        <f>'CASH FLOW'!K7</f>
        <v>211812511.852601</v>
      </c>
      <c r="M13" s="9" t="s">
        <v>19</v>
      </c>
      <c r="N13" s="20">
        <f>'CASH FLOW'!O7</f>
        <v>281922453.2758119</v>
      </c>
      <c r="R13" s="9" t="s">
        <v>19</v>
      </c>
      <c r="S13" s="20">
        <f>'CASH FLOW'!R7</f>
        <v>375238785.3101056</v>
      </c>
      <c r="U13" s="9" t="s">
        <v>19</v>
      </c>
      <c r="V13" s="20">
        <f>'CASH FLOW'!V7</f>
        <v>499442823.24775064</v>
      </c>
      <c r="Z13" s="9" t="s">
        <v>19</v>
      </c>
      <c r="AA13" s="20">
        <f>'CASH FLOW'!Y7</f>
        <v>664758397.7427561</v>
      </c>
    </row>
    <row r="14" spans="1:27" ht="16.5" thickBot="1">
      <c r="A14" s="9" t="s">
        <v>26</v>
      </c>
      <c r="B14" s="30">
        <f>-'CASH FLOW'!D11</f>
        <v>-49425301.8</v>
      </c>
      <c r="D14" s="9" t="s">
        <v>26</v>
      </c>
      <c r="E14" s="30">
        <f>-'CASH FLOW'!H11</f>
        <v>-50170394.40279772</v>
      </c>
      <c r="J14" s="9" t="s">
        <v>26</v>
      </c>
      <c r="K14" s="30">
        <f>-'CASH FLOW'!K11</f>
        <v>-50926719.36971919</v>
      </c>
      <c r="M14" s="9" t="s">
        <v>26</v>
      </c>
      <c r="N14" s="30">
        <f>-'CASH FLOW'!O11</f>
        <v>-51694446.03005763</v>
      </c>
      <c r="R14" s="9" t="s">
        <v>26</v>
      </c>
      <c r="S14" s="30">
        <f>-'CASH FLOW'!R11</f>
        <v>-52473746.2657665</v>
      </c>
      <c r="U14" s="9" t="s">
        <v>26</v>
      </c>
      <c r="V14" s="30">
        <f>-'CASH FLOW'!V11</f>
        <v>-53264794.54994121</v>
      </c>
      <c r="Z14" s="9" t="s">
        <v>26</v>
      </c>
      <c r="AA14" s="30">
        <f>-'CASH FLOW'!Y11</f>
        <v>-54067767.98588089</v>
      </c>
    </row>
    <row r="15" spans="1:27" ht="15.75">
      <c r="A15" s="9" t="s">
        <v>27</v>
      </c>
      <c r="B15" s="17">
        <f>SUM(B13:B14)</f>
        <v>70137339.2</v>
      </c>
      <c r="D15" s="9" t="s">
        <v>27</v>
      </c>
      <c r="E15" s="17">
        <f>SUM(E13:E14)</f>
        <v>108967480.76820225</v>
      </c>
      <c r="G15" s="8"/>
      <c r="J15" s="9" t="s">
        <v>27</v>
      </c>
      <c r="K15" s="17">
        <f>SUM(K13:K14)</f>
        <v>160885792.48288178</v>
      </c>
      <c r="M15" s="9" t="s">
        <v>27</v>
      </c>
      <c r="N15" s="17">
        <f>SUM(N13:N14)</f>
        <v>230228007.24575427</v>
      </c>
      <c r="R15" s="9" t="s">
        <v>27</v>
      </c>
      <c r="S15" s="17">
        <f>SUM(S13:S14)</f>
        <v>322765039.0443391</v>
      </c>
      <c r="U15" s="9" t="s">
        <v>27</v>
      </c>
      <c r="V15" s="17">
        <f>SUM(V13:V14)</f>
        <v>446178028.69780946</v>
      </c>
      <c r="Z15" s="9" t="s">
        <v>27</v>
      </c>
      <c r="AA15" s="17">
        <f>SUM(AA13:AA14)</f>
        <v>610690629.7568753</v>
      </c>
    </row>
    <row r="16" spans="1:27" ht="16.5" thickBot="1">
      <c r="A16" s="9" t="s">
        <v>28</v>
      </c>
      <c r="B16" s="30">
        <f>0.1*B15*-1</f>
        <v>-7013733.920000001</v>
      </c>
      <c r="D16" s="9" t="s">
        <v>28</v>
      </c>
      <c r="E16" s="30">
        <f>0.1*E15*-1</f>
        <v>-10896748.076820225</v>
      </c>
      <c r="G16" s="8"/>
      <c r="J16" s="9" t="s">
        <v>28</v>
      </c>
      <c r="K16" s="30">
        <f>0.1*K15*-1</f>
        <v>-16088579.248288179</v>
      </c>
      <c r="M16" s="9" t="s">
        <v>28</v>
      </c>
      <c r="N16" s="30">
        <f>0.1*N15*-1</f>
        <v>-23022800.72457543</v>
      </c>
      <c r="R16" s="9" t="s">
        <v>28</v>
      </c>
      <c r="S16" s="30">
        <f>0.1*S15*-1</f>
        <v>-32276503.904433914</v>
      </c>
      <c r="U16" s="9" t="s">
        <v>28</v>
      </c>
      <c r="V16" s="30">
        <f>0.1*V15*-1</f>
        <v>-44617802.86978095</v>
      </c>
      <c r="Z16" s="9" t="s">
        <v>28</v>
      </c>
      <c r="AA16" s="30">
        <f>0.1*AA15*-1</f>
        <v>-61069062.97568753</v>
      </c>
    </row>
    <row r="17" spans="1:27" ht="15.75">
      <c r="A17" s="9" t="s">
        <v>29</v>
      </c>
      <c r="B17" s="27">
        <f>SUM(B15:B16)</f>
        <v>63123605.28</v>
      </c>
      <c r="D17" s="9" t="s">
        <v>29</v>
      </c>
      <c r="E17" s="27">
        <f>SUM(E15:E16)</f>
        <v>98070732.69138202</v>
      </c>
      <c r="G17" s="8"/>
      <c r="J17" s="9" t="s">
        <v>29</v>
      </c>
      <c r="K17" s="27">
        <f>SUM(K15:K16)</f>
        <v>144797213.2345936</v>
      </c>
      <c r="M17" s="9" t="s">
        <v>29</v>
      </c>
      <c r="N17" s="27">
        <f>SUM(N15:N16)</f>
        <v>207205206.52117884</v>
      </c>
      <c r="R17" s="9" t="s">
        <v>29</v>
      </c>
      <c r="S17" s="27">
        <f>SUM(S15:S16)</f>
        <v>290488535.1399052</v>
      </c>
      <c r="U17" s="9" t="s">
        <v>29</v>
      </c>
      <c r="V17" s="27">
        <f>SUM(V15:V16)</f>
        <v>401560225.8280285</v>
      </c>
      <c r="Z17" s="9" t="s">
        <v>29</v>
      </c>
      <c r="AA17" s="27">
        <f>SUM(AA15:AA16)</f>
        <v>549621566.7811878</v>
      </c>
    </row>
    <row r="18" spans="2:27" ht="15.75">
      <c r="B18" s="8"/>
      <c r="E18" s="8"/>
      <c r="K18" s="8"/>
      <c r="N18" s="8"/>
      <c r="S18" s="8"/>
      <c r="V18" s="8"/>
      <c r="AA18" s="8"/>
    </row>
    <row r="19" spans="1:21" ht="15.75">
      <c r="A19" s="1" t="s">
        <v>33</v>
      </c>
      <c r="D19" s="1" t="s">
        <v>36</v>
      </c>
      <c r="J19" s="1" t="s">
        <v>39</v>
      </c>
      <c r="M19" s="1" t="s">
        <v>42</v>
      </c>
      <c r="R19" s="1" t="s">
        <v>45</v>
      </c>
      <c r="U19" s="1" t="s">
        <v>48</v>
      </c>
    </row>
    <row r="20" spans="1:22" ht="15.75">
      <c r="A20" s="9" t="s">
        <v>19</v>
      </c>
      <c r="B20" s="20">
        <f>'CASH FLOW'!E7</f>
        <v>131518905.1</v>
      </c>
      <c r="D20" s="9" t="s">
        <v>19</v>
      </c>
      <c r="E20" s="20">
        <f>'CASH FLOW'!I7</f>
        <v>175051662.68809998</v>
      </c>
      <c r="J20" s="9" t="s">
        <v>19</v>
      </c>
      <c r="K20" s="20">
        <f>'CASH FLOW'!L7</f>
        <v>232993763.0378611</v>
      </c>
      <c r="M20" s="9" t="s">
        <v>19</v>
      </c>
      <c r="N20" s="20">
        <f>'CASH FLOW'!P7</f>
        <v>310114698.6033931</v>
      </c>
      <c r="R20" s="9" t="s">
        <v>19</v>
      </c>
      <c r="S20" s="20">
        <f>'CASH FLOW'!T7</f>
        <v>412762663.8411162</v>
      </c>
      <c r="U20" s="9" t="s">
        <v>19</v>
      </c>
      <c r="V20" s="20">
        <f>'CASH FLOW'!W7</f>
        <v>549387105.5725257</v>
      </c>
    </row>
    <row r="21" spans="1:22" ht="16.5" thickBot="1">
      <c r="A21" s="9" t="s">
        <v>26</v>
      </c>
      <c r="B21" s="30">
        <f>-'CASH FLOW'!E11</f>
        <v>-49672428.309</v>
      </c>
      <c r="D21" s="9" t="s">
        <v>26</v>
      </c>
      <c r="E21" s="30">
        <f>-'CASH FLOW'!I12</f>
        <v>-50421246.37481171</v>
      </c>
      <c r="J21" s="9" t="s">
        <v>26</v>
      </c>
      <c r="K21" s="30">
        <f>-'CASH FLOW'!L12</f>
        <v>-51181352.96656779</v>
      </c>
      <c r="M21" s="9" t="s">
        <v>26</v>
      </c>
      <c r="N21" s="30">
        <f>-'CASH FLOW'!P12</f>
        <v>-51952918.26020792</v>
      </c>
      <c r="R21" s="9" t="s">
        <v>26</v>
      </c>
      <c r="S21" s="30">
        <f>-'CASH FLOW'!T11</f>
        <v>-52736114.99709533</v>
      </c>
      <c r="U21" s="9" t="s">
        <v>26</v>
      </c>
      <c r="V21" s="30">
        <f>-'CASH FLOW'!W11</f>
        <v>-53531118.522690915</v>
      </c>
    </row>
    <row r="22" spans="1:22" ht="15.75">
      <c r="A22" s="9" t="s">
        <v>27</v>
      </c>
      <c r="B22" s="17">
        <f>SUM(B20:B21)</f>
        <v>81846476.791</v>
      </c>
      <c r="D22" s="9" t="s">
        <v>27</v>
      </c>
      <c r="E22" s="17">
        <f>SUM(E20:E21)</f>
        <v>124630416.31328827</v>
      </c>
      <c r="J22" s="9" t="s">
        <v>27</v>
      </c>
      <c r="K22" s="17">
        <f>SUM(K20:K21)</f>
        <v>181812410.07129332</v>
      </c>
      <c r="M22" s="9" t="s">
        <v>27</v>
      </c>
      <c r="N22" s="17">
        <f>SUM(N20:N21)</f>
        <v>258161780.34318516</v>
      </c>
      <c r="R22" s="9" t="s">
        <v>27</v>
      </c>
      <c r="S22" s="17">
        <f>SUM(S20:S21)</f>
        <v>360026548.84402084</v>
      </c>
      <c r="U22" s="9" t="s">
        <v>27</v>
      </c>
      <c r="V22" s="17">
        <f>SUM(V20:V21)</f>
        <v>495855987.04983485</v>
      </c>
    </row>
    <row r="23" spans="1:22" ht="16.5" thickBot="1">
      <c r="A23" s="9" t="s">
        <v>28</v>
      </c>
      <c r="B23" s="30">
        <f>0.1*B22*-1</f>
        <v>-8184647.679099999</v>
      </c>
      <c r="D23" s="9" t="s">
        <v>28</v>
      </c>
      <c r="E23" s="30">
        <f>0.1*E22*-1</f>
        <v>-12463041.631328829</v>
      </c>
      <c r="J23" s="9" t="s">
        <v>28</v>
      </c>
      <c r="K23" s="30">
        <f>0.1*K22*-1</f>
        <v>-18181241.007129334</v>
      </c>
      <c r="M23" s="9" t="s">
        <v>28</v>
      </c>
      <c r="N23" s="30">
        <f>0.1*N22*-1</f>
        <v>-25816178.034318518</v>
      </c>
      <c r="R23" s="9" t="s">
        <v>28</v>
      </c>
      <c r="S23" s="30">
        <f>0.1*S22*-1</f>
        <v>-36002654.88440209</v>
      </c>
      <c r="U23" s="9" t="s">
        <v>28</v>
      </c>
      <c r="V23" s="30">
        <f>0.1*V22*-1</f>
        <v>-49585598.70498349</v>
      </c>
    </row>
    <row r="24" spans="1:22" ht="15.75">
      <c r="A24" s="9" t="s">
        <v>29</v>
      </c>
      <c r="B24" s="27">
        <f>SUM(B22:B23)</f>
        <v>73661829.1119</v>
      </c>
      <c r="D24" s="9" t="s">
        <v>29</v>
      </c>
      <c r="E24" s="27">
        <f>SUM(E22:E23)</f>
        <v>112167374.68195945</v>
      </c>
      <c r="J24" s="9" t="s">
        <v>29</v>
      </c>
      <c r="K24" s="27">
        <f>SUM(K22:K23)</f>
        <v>163631169.06416398</v>
      </c>
      <c r="M24" s="9" t="s">
        <v>29</v>
      </c>
      <c r="N24" s="27">
        <f>SUM(N22:N23)</f>
        <v>232345602.30886665</v>
      </c>
      <c r="R24" s="9" t="s">
        <v>29</v>
      </c>
      <c r="S24" s="27">
        <f>SUM(S22:S23)</f>
        <v>324023893.95961875</v>
      </c>
      <c r="U24" s="9" t="s">
        <v>29</v>
      </c>
      <c r="V24" s="27">
        <f>SUM(V22:V23)</f>
        <v>446270388.3448514</v>
      </c>
    </row>
    <row r="25" spans="2:22" ht="15.75">
      <c r="B25" s="8"/>
      <c r="E25" s="8"/>
      <c r="K25" s="8"/>
      <c r="N25" s="8"/>
      <c r="S25" s="8"/>
      <c r="V25" s="8"/>
    </row>
    <row r="26" ht="15.75">
      <c r="B26" s="8"/>
    </row>
    <row r="29" spans="1:42" ht="15.75">
      <c r="A29" s="22"/>
      <c r="B29" s="68" t="s">
        <v>56</v>
      </c>
      <c r="C29" s="68"/>
      <c r="D29" s="68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5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42" ht="15.75">
      <c r="A31" s="28" t="s">
        <v>69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1:42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ht="15.75">
      <c r="A33" s="22" t="s">
        <v>31</v>
      </c>
      <c r="B33" s="22"/>
      <c r="C33" s="22"/>
      <c r="D33" s="22" t="s">
        <v>34</v>
      </c>
      <c r="E33" s="22"/>
      <c r="F33" s="22"/>
      <c r="G33" s="22"/>
      <c r="H33" s="22"/>
      <c r="I33" s="22"/>
      <c r="J33" s="22" t="s">
        <v>37</v>
      </c>
      <c r="K33" s="22"/>
      <c r="L33" s="22"/>
      <c r="M33" s="22" t="s">
        <v>40</v>
      </c>
      <c r="N33" s="22"/>
      <c r="O33" s="22"/>
      <c r="P33" s="22"/>
      <c r="Q33" s="22"/>
      <c r="R33" s="22" t="s">
        <v>43</v>
      </c>
      <c r="S33" s="22"/>
      <c r="T33" s="22"/>
      <c r="U33" s="22" t="s">
        <v>46</v>
      </c>
      <c r="V33" s="22"/>
      <c r="W33" s="22"/>
      <c r="X33" s="22"/>
      <c r="Y33" s="22"/>
      <c r="Z33" s="22" t="s">
        <v>49</v>
      </c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</row>
    <row r="34" spans="1:42" ht="15.75">
      <c r="A34" s="9" t="s">
        <v>19</v>
      </c>
      <c r="B34" s="20">
        <f>'CASH FLOW'!C37</f>
        <v>98927400</v>
      </c>
      <c r="C34" s="22"/>
      <c r="D34" s="9" t="s">
        <v>19</v>
      </c>
      <c r="E34" s="20">
        <f>'CASH FLOW'!F37</f>
        <v>131672369.4</v>
      </c>
      <c r="F34" s="22"/>
      <c r="G34" s="22"/>
      <c r="H34" s="22"/>
      <c r="I34" s="22"/>
      <c r="J34" s="9" t="s">
        <v>19</v>
      </c>
      <c r="K34" s="20">
        <f>'CASH FLOW'!J37</f>
        <v>175255923.6714</v>
      </c>
      <c r="L34" s="22"/>
      <c r="M34" s="9" t="s">
        <v>19</v>
      </c>
      <c r="N34" s="20">
        <f>'CASH FLOW'!N37</f>
        <v>233265634.4066334</v>
      </c>
      <c r="O34" s="22"/>
      <c r="P34" s="22"/>
      <c r="Q34" s="22"/>
      <c r="R34" s="9" t="s">
        <v>19</v>
      </c>
      <c r="S34" s="20">
        <f>'CASH FLOW'!Q37</f>
        <v>310476559.3952291</v>
      </c>
      <c r="T34" s="22"/>
      <c r="U34" s="9" t="s">
        <v>19</v>
      </c>
      <c r="V34" s="20">
        <f>'CASH FLOW'!U37</f>
        <v>413244300.55504996</v>
      </c>
      <c r="W34" s="22"/>
      <c r="X34" s="22"/>
      <c r="Y34" s="22"/>
      <c r="Z34" s="9" t="s">
        <v>19</v>
      </c>
      <c r="AA34" s="20">
        <f>'CASH FLOW'!X37</f>
        <v>550028164.0387715</v>
      </c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ht="16.5" thickBot="1">
      <c r="A35" s="9" t="s">
        <v>26</v>
      </c>
      <c r="B35" s="30">
        <f>B7</f>
        <v>-47071716</v>
      </c>
      <c r="C35" s="22"/>
      <c r="D35" s="9" t="s">
        <v>26</v>
      </c>
      <c r="E35" s="30">
        <f>E7</f>
        <v>-49920790.450545</v>
      </c>
      <c r="F35" s="22"/>
      <c r="G35" s="22"/>
      <c r="H35" s="22"/>
      <c r="I35" s="22"/>
      <c r="J35" s="9" t="s">
        <v>26</v>
      </c>
      <c r="K35" s="30">
        <f>K7</f>
        <v>-50673352.606685765</v>
      </c>
      <c r="L35" s="22"/>
      <c r="M35" s="9" t="s">
        <v>26</v>
      </c>
      <c r="N35" s="30">
        <f>N7</f>
        <v>-51437259.73140063</v>
      </c>
      <c r="O35" s="22"/>
      <c r="P35" s="22"/>
      <c r="Q35" s="22"/>
      <c r="R35" s="9" t="s">
        <v>26</v>
      </c>
      <c r="S35" s="30">
        <f>S7</f>
        <v>-52212682.85150896</v>
      </c>
      <c r="T35" s="22"/>
      <c r="U35" s="9" t="s">
        <v>26</v>
      </c>
      <c r="V35" s="30">
        <f>V7</f>
        <v>-52999795.572080806</v>
      </c>
      <c r="W35" s="22"/>
      <c r="X35" s="22"/>
      <c r="Y35" s="22"/>
      <c r="Z35" s="9" t="s">
        <v>26</v>
      </c>
      <c r="AA35" s="30">
        <f>AA7</f>
        <v>-53798774.115304366</v>
      </c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  <row r="36" spans="1:42" ht="15.75">
      <c r="A36" s="9" t="s">
        <v>27</v>
      </c>
      <c r="B36" s="17">
        <f>SUM(B34:B35)</f>
        <v>51855684</v>
      </c>
      <c r="C36" s="22"/>
      <c r="D36" s="9" t="s">
        <v>27</v>
      </c>
      <c r="E36" s="17">
        <f>SUM(E34:E35)</f>
        <v>81751578.94945501</v>
      </c>
      <c r="F36" s="22"/>
      <c r="G36" s="22"/>
      <c r="H36" s="22"/>
      <c r="I36" s="22"/>
      <c r="J36" s="9" t="s">
        <v>27</v>
      </c>
      <c r="K36" s="17">
        <f>SUM(K34:K35)</f>
        <v>124582571.06471425</v>
      </c>
      <c r="L36" s="22"/>
      <c r="M36" s="9" t="s">
        <v>27</v>
      </c>
      <c r="N36" s="17">
        <f>SUM(N34:N35)</f>
        <v>181828374.67523277</v>
      </c>
      <c r="O36" s="22"/>
      <c r="P36" s="22"/>
      <c r="Q36" s="22"/>
      <c r="R36" s="9" t="s">
        <v>27</v>
      </c>
      <c r="S36" s="17">
        <f>SUM(S34:S35)</f>
        <v>258263876.54372013</v>
      </c>
      <c r="T36" s="22"/>
      <c r="U36" s="9" t="s">
        <v>27</v>
      </c>
      <c r="V36" s="17">
        <f>SUM(V34:V35)</f>
        <v>360244504.98296916</v>
      </c>
      <c r="W36" s="22"/>
      <c r="X36" s="22"/>
      <c r="Y36" s="22"/>
      <c r="Z36" s="9" t="s">
        <v>27</v>
      </c>
      <c r="AA36" s="17">
        <f>SUM(AA34:AA35)</f>
        <v>496229389.92346716</v>
      </c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</row>
    <row r="37" spans="1:42" ht="16.5" thickBot="1">
      <c r="A37" s="9" t="s">
        <v>28</v>
      </c>
      <c r="B37" s="30">
        <v>-2757589.2</v>
      </c>
      <c r="C37" s="22"/>
      <c r="D37" s="9" t="s">
        <v>28</v>
      </c>
      <c r="E37" s="30">
        <v>-4290929.1183165</v>
      </c>
      <c r="F37" s="22"/>
      <c r="G37" s="22"/>
      <c r="H37" s="22"/>
      <c r="I37" s="22"/>
      <c r="J37" s="9" t="s">
        <v>28</v>
      </c>
      <c r="K37" s="30">
        <v>-6479961.246714761</v>
      </c>
      <c r="L37" s="22"/>
      <c r="M37" s="9" t="s">
        <v>28</v>
      </c>
      <c r="N37" s="30">
        <v>-9405151.77965247</v>
      </c>
      <c r="O37" s="22"/>
      <c r="P37" s="22"/>
      <c r="Q37" s="22"/>
      <c r="R37" s="9" t="s">
        <v>28</v>
      </c>
      <c r="S37" s="30">
        <v>-13310343.85118913</v>
      </c>
      <c r="T37" s="22"/>
      <c r="U37" s="9" t="s">
        <v>28</v>
      </c>
      <c r="V37" s="30">
        <v>-18520095.306414794</v>
      </c>
      <c r="W37" s="22"/>
      <c r="X37" s="22"/>
      <c r="Y37" s="22"/>
      <c r="Z37" s="9" t="s">
        <v>28</v>
      </c>
      <c r="AA37" s="30">
        <v>-25466395.31050387</v>
      </c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1:42" ht="15.75">
      <c r="A38" s="9" t="s">
        <v>29</v>
      </c>
      <c r="B38" s="27">
        <f>SUM(B36:B37)</f>
        <v>49098094.8</v>
      </c>
      <c r="C38" s="22"/>
      <c r="D38" s="9" t="s">
        <v>29</v>
      </c>
      <c r="E38" s="27">
        <f>SUM(E36:E37)</f>
        <v>77460649.8311385</v>
      </c>
      <c r="F38" s="22"/>
      <c r="G38" s="22"/>
      <c r="H38" s="22"/>
      <c r="I38" s="22"/>
      <c r="J38" s="9" t="s">
        <v>29</v>
      </c>
      <c r="K38" s="27">
        <f>SUM(K36:K37)</f>
        <v>118102609.8179995</v>
      </c>
      <c r="L38" s="22"/>
      <c r="M38" s="9" t="s">
        <v>29</v>
      </c>
      <c r="N38" s="27">
        <f>SUM(N36:N37)</f>
        <v>172423222.8955803</v>
      </c>
      <c r="O38" s="22"/>
      <c r="P38" s="22"/>
      <c r="Q38" s="22"/>
      <c r="R38" s="9" t="s">
        <v>29</v>
      </c>
      <c r="S38" s="27">
        <f>SUM(S36:S37)</f>
        <v>244953532.692531</v>
      </c>
      <c r="T38" s="22"/>
      <c r="U38" s="9" t="s">
        <v>29</v>
      </c>
      <c r="V38" s="27">
        <f>SUM(V36:V37)</f>
        <v>341724409.6765544</v>
      </c>
      <c r="W38" s="22"/>
      <c r="X38" s="22"/>
      <c r="Y38" s="22"/>
      <c r="Z38" s="9" t="s">
        <v>29</v>
      </c>
      <c r="AA38" s="27">
        <f>SUM(AA36:AA37)</f>
        <v>470762994.6129633</v>
      </c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1:42" ht="15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1:42" ht="15.75">
      <c r="A40" s="22" t="s">
        <v>32</v>
      </c>
      <c r="B40" s="22"/>
      <c r="C40" s="22"/>
      <c r="D40" s="22" t="s">
        <v>35</v>
      </c>
      <c r="E40" s="22"/>
      <c r="F40" s="22"/>
      <c r="G40" s="22"/>
      <c r="H40" s="22"/>
      <c r="I40" s="22"/>
      <c r="J40" s="22" t="s">
        <v>38</v>
      </c>
      <c r="K40" s="22"/>
      <c r="L40" s="22"/>
      <c r="M40" s="22" t="s">
        <v>41</v>
      </c>
      <c r="N40" s="22"/>
      <c r="O40" s="22"/>
      <c r="P40" s="22"/>
      <c r="Q40" s="22"/>
      <c r="R40" s="22" t="s">
        <v>44</v>
      </c>
      <c r="S40" s="22"/>
      <c r="T40" s="22"/>
      <c r="U40" s="22" t="s">
        <v>47</v>
      </c>
      <c r="V40" s="22"/>
      <c r="W40" s="22"/>
      <c r="X40" s="22"/>
      <c r="Y40" s="22"/>
      <c r="Z40" s="22" t="s">
        <v>50</v>
      </c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1:42" ht="15.75">
      <c r="A41" s="9" t="s">
        <v>19</v>
      </c>
      <c r="B41" s="20">
        <f>'CASH FLOW'!D37</f>
        <v>108820140</v>
      </c>
      <c r="C41" s="22"/>
      <c r="D41" s="9" t="s">
        <v>19</v>
      </c>
      <c r="E41" s="20">
        <f>'CASH FLOW'!H37</f>
        <v>144839606.34</v>
      </c>
      <c r="F41" s="22"/>
      <c r="G41" s="22"/>
      <c r="H41" s="22"/>
      <c r="I41" s="22"/>
      <c r="J41" s="9" t="s">
        <v>19</v>
      </c>
      <c r="K41" s="20">
        <f>'CASH FLOW'!K37</f>
        <v>192781516.03854</v>
      </c>
      <c r="L41" s="22"/>
      <c r="M41" s="9" t="s">
        <v>19</v>
      </c>
      <c r="N41" s="20">
        <f>'CASH FLOW'!O37</f>
        <v>256592197.84729674</v>
      </c>
      <c r="O41" s="22"/>
      <c r="P41" s="22"/>
      <c r="Q41" s="22"/>
      <c r="R41" s="9" t="s">
        <v>19</v>
      </c>
      <c r="S41" s="20">
        <f>'CASH FLOW'!R37</f>
        <v>341524215.334752</v>
      </c>
      <c r="T41" s="22"/>
      <c r="U41" s="9" t="s">
        <v>19</v>
      </c>
      <c r="V41" s="20">
        <f>'CASH FLOW'!V37</f>
        <v>454568730.61055493</v>
      </c>
      <c r="W41" s="22"/>
      <c r="X41" s="22"/>
      <c r="Y41" s="22"/>
      <c r="Z41" s="9" t="s">
        <v>19</v>
      </c>
      <c r="AA41" s="20">
        <f>'CASH FLOW'!Y37</f>
        <v>605030980.4426486</v>
      </c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 ht="16.5" thickBot="1">
      <c r="A42" s="9" t="s">
        <v>26</v>
      </c>
      <c r="B42" s="30">
        <f>B14</f>
        <v>-49425301.8</v>
      </c>
      <c r="C42" s="22"/>
      <c r="D42" s="9" t="s">
        <v>26</v>
      </c>
      <c r="E42" s="30">
        <f>E14</f>
        <v>-50170394.40279772</v>
      </c>
      <c r="F42" s="22"/>
      <c r="G42" s="22"/>
      <c r="H42" s="22"/>
      <c r="I42" s="22"/>
      <c r="J42" s="9" t="s">
        <v>26</v>
      </c>
      <c r="K42" s="30">
        <f>K14</f>
        <v>-50926719.36971919</v>
      </c>
      <c r="L42" s="22"/>
      <c r="M42" s="9" t="s">
        <v>26</v>
      </c>
      <c r="N42" s="30">
        <f>N14</f>
        <v>-51694446.03005763</v>
      </c>
      <c r="O42" s="22"/>
      <c r="P42" s="22"/>
      <c r="Q42" s="22"/>
      <c r="R42" s="9" t="s">
        <v>26</v>
      </c>
      <c r="S42" s="30">
        <f>S14</f>
        <v>-52473746.2657665</v>
      </c>
      <c r="T42" s="22"/>
      <c r="U42" s="9" t="s">
        <v>26</v>
      </c>
      <c r="V42" s="30">
        <f>V14</f>
        <v>-53264794.54994121</v>
      </c>
      <c r="W42" s="22"/>
      <c r="X42" s="22"/>
      <c r="Y42" s="22"/>
      <c r="Z42" s="9" t="s">
        <v>26</v>
      </c>
      <c r="AA42" s="30">
        <f>AA14</f>
        <v>-54067767.98588089</v>
      </c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</row>
    <row r="43" spans="1:42" ht="15.75">
      <c r="A43" s="9" t="s">
        <v>27</v>
      </c>
      <c r="B43" s="17">
        <f>SUM(B41:B42)</f>
        <v>59394838.2</v>
      </c>
      <c r="C43" s="22"/>
      <c r="D43" s="9" t="s">
        <v>27</v>
      </c>
      <c r="E43" s="17">
        <f>SUM(E41:E42)</f>
        <v>94669211.93720227</v>
      </c>
      <c r="F43" s="22"/>
      <c r="G43" s="22"/>
      <c r="H43" s="22"/>
      <c r="I43" s="22"/>
      <c r="J43" s="9" t="s">
        <v>27</v>
      </c>
      <c r="K43" s="17">
        <f>SUM(K41:K42)</f>
        <v>141854796.6688208</v>
      </c>
      <c r="L43" s="22"/>
      <c r="M43" s="9" t="s">
        <v>27</v>
      </c>
      <c r="N43" s="17">
        <f>SUM(N41:N42)</f>
        <v>204897751.8172391</v>
      </c>
      <c r="O43" s="22"/>
      <c r="P43" s="22"/>
      <c r="Q43" s="22"/>
      <c r="R43" s="9" t="s">
        <v>27</v>
      </c>
      <c r="S43" s="17">
        <f>SUM(S41:S42)</f>
        <v>289050469.0689855</v>
      </c>
      <c r="T43" s="22"/>
      <c r="U43" s="9" t="s">
        <v>27</v>
      </c>
      <c r="V43" s="17">
        <f>SUM(V41:V42)</f>
        <v>401303936.06061375</v>
      </c>
      <c r="W43" s="22"/>
      <c r="X43" s="22"/>
      <c r="Y43" s="22"/>
      <c r="Z43" s="9" t="s">
        <v>27</v>
      </c>
      <c r="AA43" s="17">
        <f>SUM(AA41:AA42)</f>
        <v>550963212.4567678</v>
      </c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1:42" ht="16.5" thickBot="1">
      <c r="A44" s="9" t="s">
        <v>28</v>
      </c>
      <c r="B44" s="30">
        <v>-3148068.66</v>
      </c>
      <c r="C44" s="22"/>
      <c r="D44" s="9" t="s">
        <v>28</v>
      </c>
      <c r="E44" s="30">
        <v>-4951183.903908083</v>
      </c>
      <c r="F44" s="22"/>
      <c r="G44" s="22"/>
      <c r="H44" s="22"/>
      <c r="I44" s="22"/>
      <c r="J44" s="9" t="s">
        <v>28</v>
      </c>
      <c r="K44" s="30">
        <v>-7362604.039288336</v>
      </c>
      <c r="L44" s="22"/>
      <c r="M44" s="9" t="s">
        <v>28</v>
      </c>
      <c r="N44" s="30">
        <v>-10583850.953369275</v>
      </c>
      <c r="O44" s="22"/>
      <c r="P44" s="22"/>
      <c r="Q44" s="22"/>
      <c r="R44" s="9" t="s">
        <v>28</v>
      </c>
      <c r="S44" s="30">
        <v>-14883152.885568554</v>
      </c>
      <c r="T44" s="22"/>
      <c r="U44" s="9" t="s">
        <v>28</v>
      </c>
      <c r="V44" s="30">
        <v>-20617524.26937622</v>
      </c>
      <c r="W44" s="22"/>
      <c r="X44" s="22"/>
      <c r="Y44" s="22"/>
      <c r="Z44" s="9" t="s">
        <v>28</v>
      </c>
      <c r="AA44" s="30">
        <v>-28262154.002493855</v>
      </c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1:42" ht="15.75">
      <c r="A45" s="9" t="s">
        <v>29</v>
      </c>
      <c r="B45" s="27">
        <f>SUM(B43:B44)</f>
        <v>56246769.54000001</v>
      </c>
      <c r="C45" s="22"/>
      <c r="D45" s="9" t="s">
        <v>29</v>
      </c>
      <c r="E45" s="27">
        <f>SUM(E43:E44)</f>
        <v>89718028.03329419</v>
      </c>
      <c r="F45" s="22"/>
      <c r="G45" s="22"/>
      <c r="H45" s="22"/>
      <c r="I45" s="22"/>
      <c r="J45" s="9" t="s">
        <v>29</v>
      </c>
      <c r="K45" s="27">
        <f>SUM(K43:K44)</f>
        <v>134492192.62953246</v>
      </c>
      <c r="L45" s="22"/>
      <c r="M45" s="9" t="s">
        <v>29</v>
      </c>
      <c r="N45" s="27">
        <f>SUM(N43:N44)</f>
        <v>194313900.86386985</v>
      </c>
      <c r="O45" s="22"/>
      <c r="P45" s="22"/>
      <c r="Q45" s="22"/>
      <c r="R45" s="9" t="s">
        <v>29</v>
      </c>
      <c r="S45" s="27">
        <f>SUM(S43:S44)</f>
        <v>274167316.18341696</v>
      </c>
      <c r="T45" s="22"/>
      <c r="U45" s="9" t="s">
        <v>29</v>
      </c>
      <c r="V45" s="27">
        <f>SUM(V43:V44)</f>
        <v>380686411.79123753</v>
      </c>
      <c r="W45" s="22"/>
      <c r="X45" s="22"/>
      <c r="Y45" s="22"/>
      <c r="Z45" s="9" t="s">
        <v>29</v>
      </c>
      <c r="AA45" s="27">
        <f>SUM(AA43:AA44)</f>
        <v>522701058.45427394</v>
      </c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ht="15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ht="15.75">
      <c r="A47" s="22" t="s">
        <v>33</v>
      </c>
      <c r="B47" s="22"/>
      <c r="C47" s="22"/>
      <c r="D47" s="22" t="s">
        <v>36</v>
      </c>
      <c r="E47" s="22"/>
      <c r="F47" s="22"/>
      <c r="G47" s="22"/>
      <c r="H47" s="22"/>
      <c r="I47" s="22"/>
      <c r="J47" s="22" t="s">
        <v>39</v>
      </c>
      <c r="K47" s="22"/>
      <c r="L47" s="22"/>
      <c r="M47" s="22" t="s">
        <v>42</v>
      </c>
      <c r="N47" s="22"/>
      <c r="O47" s="22"/>
      <c r="P47" s="22"/>
      <c r="Q47" s="22"/>
      <c r="R47" s="22" t="s">
        <v>45</v>
      </c>
      <c r="S47" s="22"/>
      <c r="T47" s="22"/>
      <c r="U47" s="22" t="s">
        <v>48</v>
      </c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ht="15.75">
      <c r="A48" s="9" t="s">
        <v>19</v>
      </c>
      <c r="B48" s="20">
        <f>'CASH FLOW'!E37</f>
        <v>119702154</v>
      </c>
      <c r="C48" s="22"/>
      <c r="D48" s="9" t="s">
        <v>19</v>
      </c>
      <c r="E48" s="20">
        <f>'CASH FLOW'!I37</f>
        <v>159323566.974</v>
      </c>
      <c r="F48" s="22"/>
      <c r="G48" s="22"/>
      <c r="H48" s="22"/>
      <c r="I48" s="22"/>
      <c r="J48" s="9" t="s">
        <v>19</v>
      </c>
      <c r="K48" s="20">
        <f>'CASH FLOW'!L37</f>
        <v>212059667.642394</v>
      </c>
      <c r="L48" s="22"/>
      <c r="M48" s="9" t="s">
        <v>19</v>
      </c>
      <c r="N48" s="20">
        <f>'CASH FLOW'!P37</f>
        <v>282251417.63202643</v>
      </c>
      <c r="O48" s="22"/>
      <c r="P48" s="22"/>
      <c r="Q48" s="22"/>
      <c r="R48" s="9" t="s">
        <v>19</v>
      </c>
      <c r="S48" s="20">
        <f>'CASH FLOW'!T37</f>
        <v>375676636.86822724</v>
      </c>
      <c r="T48" s="22"/>
      <c r="U48" s="9" t="s">
        <v>19</v>
      </c>
      <c r="V48" s="20">
        <f>'CASH FLOW'!W37</f>
        <v>500025603.6716104</v>
      </c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ht="16.5" thickBot="1">
      <c r="A49" s="9" t="s">
        <v>26</v>
      </c>
      <c r="B49" s="30">
        <f>B21</f>
        <v>-49672428.309</v>
      </c>
      <c r="C49" s="22"/>
      <c r="D49" s="9" t="s">
        <v>26</v>
      </c>
      <c r="E49" s="30">
        <f>E21</f>
        <v>-50421246.37481171</v>
      </c>
      <c r="F49" s="22"/>
      <c r="G49" s="22"/>
      <c r="H49" s="22"/>
      <c r="I49" s="22"/>
      <c r="J49" s="9" t="s">
        <v>26</v>
      </c>
      <c r="K49" s="30">
        <f>K21</f>
        <v>-51181352.96656779</v>
      </c>
      <c r="L49" s="22"/>
      <c r="M49" s="9" t="s">
        <v>26</v>
      </c>
      <c r="N49" s="30">
        <f>N21</f>
        <v>-51952918.26020792</v>
      </c>
      <c r="O49" s="22"/>
      <c r="P49" s="22"/>
      <c r="Q49" s="22"/>
      <c r="R49" s="9" t="s">
        <v>26</v>
      </c>
      <c r="S49" s="30">
        <f>S21</f>
        <v>-52736114.99709533</v>
      </c>
      <c r="T49" s="22"/>
      <c r="U49" s="9" t="s">
        <v>26</v>
      </c>
      <c r="V49" s="30">
        <f>V21</f>
        <v>-53531118.522690915</v>
      </c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ht="15.75">
      <c r="A50" s="9" t="s">
        <v>27</v>
      </c>
      <c r="B50" s="17">
        <f>SUM(B48:B49)</f>
        <v>70029725.691</v>
      </c>
      <c r="C50" s="22"/>
      <c r="D50" s="9" t="s">
        <v>27</v>
      </c>
      <c r="E50" s="17">
        <f>SUM(E48:E49)</f>
        <v>108902320.5991883</v>
      </c>
      <c r="F50" s="22"/>
      <c r="G50" s="22"/>
      <c r="H50" s="22"/>
      <c r="I50" s="22"/>
      <c r="J50" s="9" t="s">
        <v>27</v>
      </c>
      <c r="K50" s="17">
        <f>SUM(K48:K49)</f>
        <v>160878314.67582622</v>
      </c>
      <c r="L50" s="22"/>
      <c r="M50" s="9" t="s">
        <v>27</v>
      </c>
      <c r="N50" s="17">
        <f>SUM(N48:N49)</f>
        <v>230298499.3718185</v>
      </c>
      <c r="O50" s="22"/>
      <c r="P50" s="22"/>
      <c r="Q50" s="22"/>
      <c r="R50" s="9" t="s">
        <v>27</v>
      </c>
      <c r="S50" s="17">
        <f>SUM(S48:S49)</f>
        <v>322940521.8711319</v>
      </c>
      <c r="T50" s="22"/>
      <c r="U50" s="9" t="s">
        <v>27</v>
      </c>
      <c r="V50" s="17">
        <f>SUM(V48:V49)</f>
        <v>446494485.1489195</v>
      </c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ht="16.5" thickBot="1">
      <c r="A51" s="9" t="s">
        <v>28</v>
      </c>
      <c r="B51" s="30">
        <v>-3691743.0033</v>
      </c>
      <c r="C51" s="22"/>
      <c r="D51" s="9" t="s">
        <v>28</v>
      </c>
      <c r="E51" s="30">
        <v>-5678619.977427623</v>
      </c>
      <c r="F51" s="22"/>
      <c r="G51" s="22"/>
      <c r="H51" s="22"/>
      <c r="I51" s="22"/>
      <c r="J51" s="9" t="s">
        <v>28</v>
      </c>
      <c r="K51" s="30">
        <v>-8334684.344458777</v>
      </c>
      <c r="L51" s="22"/>
      <c r="M51" s="9" t="s">
        <v>28</v>
      </c>
      <c r="N51" s="30">
        <v>-11881610.964436516</v>
      </c>
      <c r="O51" s="22"/>
      <c r="P51" s="22"/>
      <c r="Q51" s="22"/>
      <c r="R51" s="9" t="s">
        <v>28</v>
      </c>
      <c r="S51" s="30">
        <v>-16614451.696632221</v>
      </c>
      <c r="T51" s="22"/>
      <c r="U51" s="9" t="s">
        <v>28</v>
      </c>
      <c r="V51" s="30">
        <v>-22925923.22579538</v>
      </c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ht="15.75">
      <c r="A52" s="9" t="s">
        <v>29</v>
      </c>
      <c r="B52" s="27">
        <f>SUM(B50:B51)</f>
        <v>66337982.6877</v>
      </c>
      <c r="C52" s="22"/>
      <c r="D52" s="9" t="s">
        <v>29</v>
      </c>
      <c r="E52" s="27">
        <f>SUM(E50:E51)</f>
        <v>103223700.62176068</v>
      </c>
      <c r="F52" s="22"/>
      <c r="G52" s="22"/>
      <c r="H52" s="22"/>
      <c r="I52" s="22"/>
      <c r="J52" s="9" t="s">
        <v>29</v>
      </c>
      <c r="K52" s="27">
        <f>SUM(K50:K51)</f>
        <v>152543630.33136743</v>
      </c>
      <c r="L52" s="22"/>
      <c r="M52" s="9" t="s">
        <v>29</v>
      </c>
      <c r="N52" s="27">
        <f>SUM(N50:N51)</f>
        <v>218416888.407382</v>
      </c>
      <c r="O52" s="22"/>
      <c r="P52" s="22"/>
      <c r="Q52" s="22"/>
      <c r="R52" s="9" t="s">
        <v>29</v>
      </c>
      <c r="S52" s="27">
        <f>SUM(S50:S51)</f>
        <v>306326070.1744997</v>
      </c>
      <c r="T52" s="22"/>
      <c r="U52" s="9" t="s">
        <v>29</v>
      </c>
      <c r="V52" s="27">
        <f>SUM(V50:V51)</f>
        <v>423568561.92312413</v>
      </c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ht="15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ht="15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ht="15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ht="15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ht="15.75">
      <c r="A57" s="22"/>
      <c r="B57" s="68" t="s">
        <v>56</v>
      </c>
      <c r="C57" s="68"/>
      <c r="D57" s="68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ht="15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ht="15.75">
      <c r="A59" s="28" t="s">
        <v>72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ht="15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5.75">
      <c r="A61" s="22" t="s">
        <v>31</v>
      </c>
      <c r="B61" s="22"/>
      <c r="C61" s="22"/>
      <c r="D61" s="22" t="s">
        <v>34</v>
      </c>
      <c r="E61" s="22"/>
      <c r="F61" s="22"/>
      <c r="G61" s="22"/>
      <c r="H61" s="22"/>
      <c r="I61" s="22"/>
      <c r="J61" s="22" t="s">
        <v>37</v>
      </c>
      <c r="K61" s="22"/>
      <c r="L61" s="22"/>
      <c r="M61" s="22" t="s">
        <v>40</v>
      </c>
      <c r="N61" s="22"/>
      <c r="O61" s="22"/>
      <c r="P61" s="22"/>
      <c r="Q61" s="22"/>
      <c r="R61" s="22" t="s">
        <v>43</v>
      </c>
      <c r="S61" s="22"/>
      <c r="T61" s="22"/>
      <c r="U61" s="22" t="s">
        <v>46</v>
      </c>
      <c r="V61" s="22"/>
      <c r="W61" s="22"/>
      <c r="X61" s="22"/>
      <c r="Y61" s="22"/>
      <c r="Z61" s="22" t="s">
        <v>49</v>
      </c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ht="15.75">
      <c r="A62" s="9" t="s">
        <v>19</v>
      </c>
      <c r="B62" s="20">
        <f>'CASH FLOW'!C67</f>
        <v>89161490</v>
      </c>
      <c r="C62" s="22"/>
      <c r="D62" s="9" t="s">
        <v>19</v>
      </c>
      <c r="E62" s="20">
        <f>'CASH FLOW'!F67</f>
        <v>118673943.19000001</v>
      </c>
      <c r="F62" s="22"/>
      <c r="G62" s="22"/>
      <c r="H62" s="22"/>
      <c r="I62" s="22"/>
      <c r="J62" s="9" t="s">
        <v>19</v>
      </c>
      <c r="K62" s="20">
        <f>'CASH FLOW'!J67</f>
        <v>157955018.38589004</v>
      </c>
      <c r="L62" s="22"/>
      <c r="M62" s="9" t="s">
        <v>19</v>
      </c>
      <c r="N62" s="20">
        <f>'CASH FLOW'!N67</f>
        <v>210238129.47161967</v>
      </c>
      <c r="O62" s="22"/>
      <c r="P62" s="22"/>
      <c r="Q62" s="22"/>
      <c r="R62" s="9" t="s">
        <v>19</v>
      </c>
      <c r="S62" s="20">
        <f>'CASH FLOW'!Q67</f>
        <v>279826950.3267258</v>
      </c>
      <c r="T62" s="22"/>
      <c r="U62" s="9" t="s">
        <v>19</v>
      </c>
      <c r="V62" s="20">
        <f>'CASH FLOW'!U67</f>
        <v>372449670.884872</v>
      </c>
      <c r="W62" s="22"/>
      <c r="X62" s="22"/>
      <c r="Y62" s="22"/>
      <c r="Z62" s="9" t="s">
        <v>19</v>
      </c>
      <c r="AA62" s="20">
        <f>'CASH FLOW'!X67</f>
        <v>495730511.94776464</v>
      </c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ht="16.5" thickBot="1">
      <c r="A63" s="9" t="s">
        <v>26</v>
      </c>
      <c r="B63" s="30">
        <f>B35</f>
        <v>-47071716</v>
      </c>
      <c r="C63" s="22"/>
      <c r="D63" s="9" t="s">
        <v>26</v>
      </c>
      <c r="E63" s="30">
        <f>E35</f>
        <v>-49920790.450545</v>
      </c>
      <c r="F63" s="22"/>
      <c r="G63" s="22"/>
      <c r="H63" s="22"/>
      <c r="I63" s="22"/>
      <c r="J63" s="9" t="s">
        <v>26</v>
      </c>
      <c r="K63" s="30">
        <f>K7</f>
        <v>-50673352.606685765</v>
      </c>
      <c r="L63" s="22"/>
      <c r="M63" s="9" t="s">
        <v>26</v>
      </c>
      <c r="N63" s="30">
        <f>N7</f>
        <v>-51437259.73140063</v>
      </c>
      <c r="O63" s="22"/>
      <c r="P63" s="22"/>
      <c r="Q63" s="22"/>
      <c r="R63" s="9" t="s">
        <v>26</v>
      </c>
      <c r="S63" s="30">
        <f>S7</f>
        <v>-52212682.85150896</v>
      </c>
      <c r="T63" s="22"/>
      <c r="U63" s="9" t="s">
        <v>26</v>
      </c>
      <c r="V63" s="30">
        <f>V7</f>
        <v>-52999795.572080806</v>
      </c>
      <c r="W63" s="22"/>
      <c r="X63" s="22"/>
      <c r="Y63" s="22"/>
      <c r="Z63" s="9" t="s">
        <v>26</v>
      </c>
      <c r="AA63" s="30">
        <f>AA7</f>
        <v>-53798774.115304366</v>
      </c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 ht="15.75">
      <c r="A64" s="9" t="s">
        <v>27</v>
      </c>
      <c r="B64" s="17">
        <f>SUM(B62:B63)</f>
        <v>42089774</v>
      </c>
      <c r="C64" s="22"/>
      <c r="D64" s="9" t="s">
        <v>27</v>
      </c>
      <c r="E64" s="17">
        <f>SUM(E62:E63)</f>
        <v>68753152.73945501</v>
      </c>
      <c r="F64" s="22"/>
      <c r="G64" s="22"/>
      <c r="H64" s="22"/>
      <c r="I64" s="22"/>
      <c r="J64" s="9" t="s">
        <v>27</v>
      </c>
      <c r="K64" s="17">
        <f>SUM(K62:K63)</f>
        <v>107281665.77920428</v>
      </c>
      <c r="L64" s="22"/>
      <c r="M64" s="9" t="s">
        <v>27</v>
      </c>
      <c r="N64" s="17">
        <f>SUM(N62:N63)</f>
        <v>158800869.74021903</v>
      </c>
      <c r="O64" s="22"/>
      <c r="P64" s="22"/>
      <c r="Q64" s="22"/>
      <c r="R64" s="9" t="s">
        <v>27</v>
      </c>
      <c r="S64" s="17">
        <f>SUM(S62:S63)</f>
        <v>227614267.4752168</v>
      </c>
      <c r="T64" s="22"/>
      <c r="U64" s="9" t="s">
        <v>27</v>
      </c>
      <c r="V64" s="17">
        <f>SUM(V62:V63)</f>
        <v>319449875.3127912</v>
      </c>
      <c r="W64" s="22"/>
      <c r="X64" s="22"/>
      <c r="Y64" s="22"/>
      <c r="Z64" s="9" t="s">
        <v>27</v>
      </c>
      <c r="AA64" s="17">
        <f>SUM(AA62:AA63)</f>
        <v>441931737.8324603</v>
      </c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:42" ht="16.5" thickBot="1">
      <c r="A65" s="9" t="s">
        <v>28</v>
      </c>
      <c r="B65" s="30">
        <v>-2757589.2</v>
      </c>
      <c r="C65" s="22"/>
      <c r="D65" s="9" t="s">
        <v>28</v>
      </c>
      <c r="E65" s="30">
        <v>-4290929.1183165</v>
      </c>
      <c r="F65" s="22"/>
      <c r="G65" s="22"/>
      <c r="H65" s="22"/>
      <c r="I65" s="22"/>
      <c r="J65" s="9" t="s">
        <v>28</v>
      </c>
      <c r="K65" s="30">
        <v>-6479961.246714761</v>
      </c>
      <c r="L65" s="22"/>
      <c r="M65" s="9" t="s">
        <v>28</v>
      </c>
      <c r="N65" s="30">
        <v>-9405151.77965247</v>
      </c>
      <c r="O65" s="22"/>
      <c r="P65" s="22"/>
      <c r="Q65" s="22"/>
      <c r="R65" s="9" t="s">
        <v>28</v>
      </c>
      <c r="S65" s="30">
        <v>-13310343.85118913</v>
      </c>
      <c r="T65" s="22"/>
      <c r="U65" s="9" t="s">
        <v>28</v>
      </c>
      <c r="V65" s="30">
        <v>-18520095.306414794</v>
      </c>
      <c r="W65" s="22"/>
      <c r="X65" s="22"/>
      <c r="Y65" s="22"/>
      <c r="Z65" s="9" t="s">
        <v>28</v>
      </c>
      <c r="AA65" s="30">
        <v>-25466395.31050387</v>
      </c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</row>
    <row r="66" spans="1:42" ht="15.75">
      <c r="A66" s="9" t="s">
        <v>29</v>
      </c>
      <c r="B66" s="27">
        <f>SUM(B64:B65)</f>
        <v>39332184.8</v>
      </c>
      <c r="C66" s="22"/>
      <c r="D66" s="9" t="s">
        <v>29</v>
      </c>
      <c r="E66" s="27">
        <f>SUM(E64:E65)</f>
        <v>64462223.62113851</v>
      </c>
      <c r="F66" s="22"/>
      <c r="G66" s="22"/>
      <c r="H66" s="22"/>
      <c r="I66" s="22"/>
      <c r="J66" s="9" t="s">
        <v>29</v>
      </c>
      <c r="K66" s="27">
        <f>SUM(K64:K65)</f>
        <v>100801704.53248952</v>
      </c>
      <c r="L66" s="22"/>
      <c r="M66" s="9" t="s">
        <v>29</v>
      </c>
      <c r="N66" s="27">
        <f>SUM(N64:N65)</f>
        <v>149395717.96056655</v>
      </c>
      <c r="O66" s="22"/>
      <c r="P66" s="22"/>
      <c r="Q66" s="22"/>
      <c r="R66" s="9" t="s">
        <v>29</v>
      </c>
      <c r="S66" s="27">
        <f>SUM(S64:S65)</f>
        <v>214303923.62402767</v>
      </c>
      <c r="T66" s="22"/>
      <c r="U66" s="9" t="s">
        <v>29</v>
      </c>
      <c r="V66" s="27">
        <f>SUM(V64:V65)</f>
        <v>300929780.00637645</v>
      </c>
      <c r="W66" s="22"/>
      <c r="X66" s="22"/>
      <c r="Y66" s="22"/>
      <c r="Z66" s="9" t="s">
        <v>29</v>
      </c>
      <c r="AA66" s="27">
        <f>SUM(AA64:AA65)</f>
        <v>416465342.52195644</v>
      </c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ht="15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ht="15.75">
      <c r="A68" s="22" t="s">
        <v>32</v>
      </c>
      <c r="B68" s="22"/>
      <c r="C68" s="22"/>
      <c r="D68" s="22" t="s">
        <v>35</v>
      </c>
      <c r="E68" s="22"/>
      <c r="F68" s="22"/>
      <c r="G68" s="22"/>
      <c r="H68" s="22"/>
      <c r="I68" s="22"/>
      <c r="J68" s="22" t="s">
        <v>38</v>
      </c>
      <c r="K68" s="22"/>
      <c r="L68" s="22"/>
      <c r="M68" s="22" t="s">
        <v>41</v>
      </c>
      <c r="N68" s="22"/>
      <c r="O68" s="22"/>
      <c r="P68" s="22"/>
      <c r="Q68" s="22"/>
      <c r="R68" s="22" t="s">
        <v>44</v>
      </c>
      <c r="S68" s="22"/>
      <c r="T68" s="22"/>
      <c r="U68" s="22" t="s">
        <v>47</v>
      </c>
      <c r="V68" s="22"/>
      <c r="W68" s="22"/>
      <c r="X68" s="22"/>
      <c r="Y68" s="22"/>
      <c r="Z68" s="22" t="s">
        <v>50</v>
      </c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</row>
    <row r="69" spans="1:42" ht="15.75">
      <c r="A69" s="9" t="s">
        <v>19</v>
      </c>
      <c r="B69" s="20">
        <f>'CASH FLOW'!D67</f>
        <v>98077639</v>
      </c>
      <c r="C69" s="22"/>
      <c r="D69" s="9" t="s">
        <v>19</v>
      </c>
      <c r="E69" s="20">
        <f>'CASH FLOW'!H67</f>
        <v>130541337.50900002</v>
      </c>
      <c r="F69" s="22"/>
      <c r="G69" s="22"/>
      <c r="H69" s="22"/>
      <c r="I69" s="22"/>
      <c r="J69" s="9" t="s">
        <v>19</v>
      </c>
      <c r="K69" s="20">
        <f>'CASH FLOW'!K67</f>
        <v>173750520.22447905</v>
      </c>
      <c r="L69" s="22"/>
      <c r="M69" s="9" t="s">
        <v>19</v>
      </c>
      <c r="N69" s="20">
        <f>'CASH FLOW'!O67</f>
        <v>231261942.41878164</v>
      </c>
      <c r="O69" s="22"/>
      <c r="P69" s="22"/>
      <c r="Q69" s="22"/>
      <c r="R69" s="9" t="s">
        <v>19</v>
      </c>
      <c r="S69" s="20">
        <f>'CASH FLOW'!R67</f>
        <v>307809645.35939837</v>
      </c>
      <c r="T69" s="22"/>
      <c r="U69" s="9" t="s">
        <v>19</v>
      </c>
      <c r="V69" s="20">
        <f>'CASH FLOW'!V67</f>
        <v>409694637.9733592</v>
      </c>
      <c r="W69" s="22"/>
      <c r="X69" s="22"/>
      <c r="Y69" s="22"/>
      <c r="Z69" s="9" t="s">
        <v>19</v>
      </c>
      <c r="AA69" s="20">
        <f>'CASH FLOW'!Y67</f>
        <v>545303563.142541</v>
      </c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ht="16.5" thickBot="1">
      <c r="A70" s="9" t="s">
        <v>26</v>
      </c>
      <c r="B70" s="30">
        <f>B42</f>
        <v>-49425301.8</v>
      </c>
      <c r="C70" s="22"/>
      <c r="D70" s="9" t="s">
        <v>26</v>
      </c>
      <c r="E70" s="30">
        <f>E42</f>
        <v>-50170394.40279772</v>
      </c>
      <c r="F70" s="22"/>
      <c r="G70" s="22"/>
      <c r="H70" s="22"/>
      <c r="I70" s="22"/>
      <c r="J70" s="9" t="s">
        <v>26</v>
      </c>
      <c r="K70" s="30">
        <f>K14</f>
        <v>-50926719.36971919</v>
      </c>
      <c r="L70" s="22"/>
      <c r="M70" s="9" t="s">
        <v>26</v>
      </c>
      <c r="N70" s="30">
        <f>N14</f>
        <v>-51694446.03005763</v>
      </c>
      <c r="O70" s="22"/>
      <c r="P70" s="22"/>
      <c r="Q70" s="22"/>
      <c r="R70" s="9" t="s">
        <v>26</v>
      </c>
      <c r="S70" s="30">
        <f>S14</f>
        <v>-52473746.2657665</v>
      </c>
      <c r="T70" s="22"/>
      <c r="U70" s="9" t="s">
        <v>26</v>
      </c>
      <c r="V70" s="30">
        <f>V14</f>
        <v>-53264794.54994121</v>
      </c>
      <c r="W70" s="22"/>
      <c r="X70" s="22"/>
      <c r="Y70" s="22"/>
      <c r="Z70" s="9" t="s">
        <v>26</v>
      </c>
      <c r="AA70" s="30">
        <f>AA14</f>
        <v>-54067767.98588089</v>
      </c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ht="15.75">
      <c r="A71" s="9" t="s">
        <v>27</v>
      </c>
      <c r="B71" s="17">
        <f>SUM(B69:B70)</f>
        <v>48652337.2</v>
      </c>
      <c r="C71" s="22"/>
      <c r="D71" s="9" t="s">
        <v>27</v>
      </c>
      <c r="E71" s="17">
        <f>SUM(E69:E70)</f>
        <v>80370943.1062023</v>
      </c>
      <c r="F71" s="22"/>
      <c r="G71" s="22"/>
      <c r="H71" s="22"/>
      <c r="I71" s="22"/>
      <c r="J71" s="9" t="s">
        <v>27</v>
      </c>
      <c r="K71" s="17">
        <f>SUM(K69:K70)</f>
        <v>122823800.85475986</v>
      </c>
      <c r="L71" s="22"/>
      <c r="M71" s="9" t="s">
        <v>27</v>
      </c>
      <c r="N71" s="17">
        <f>SUM(N69:N70)</f>
        <v>179567496.388724</v>
      </c>
      <c r="O71" s="22"/>
      <c r="P71" s="22"/>
      <c r="Q71" s="22"/>
      <c r="R71" s="9" t="s">
        <v>27</v>
      </c>
      <c r="S71" s="17">
        <f>SUM(S69:S70)</f>
        <v>255335899.09363186</v>
      </c>
      <c r="T71" s="22"/>
      <c r="U71" s="9" t="s">
        <v>27</v>
      </c>
      <c r="V71" s="17">
        <f>SUM(V69:V70)</f>
        <v>356429843.42341805</v>
      </c>
      <c r="W71" s="22"/>
      <c r="X71" s="22"/>
      <c r="Y71" s="22"/>
      <c r="Z71" s="9" t="s">
        <v>27</v>
      </c>
      <c r="AA71" s="17">
        <f>SUM(AA69:AA70)</f>
        <v>491235795.15666014</v>
      </c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ht="16.5" thickBot="1">
      <c r="A72" s="9" t="s">
        <v>28</v>
      </c>
      <c r="B72" s="30">
        <v>-3148068.66</v>
      </c>
      <c r="C72" s="22"/>
      <c r="D72" s="9" t="s">
        <v>28</v>
      </c>
      <c r="E72" s="30">
        <v>-4951183.903908083</v>
      </c>
      <c r="F72" s="22"/>
      <c r="G72" s="22"/>
      <c r="H72" s="22"/>
      <c r="I72" s="22"/>
      <c r="J72" s="9" t="s">
        <v>28</v>
      </c>
      <c r="K72" s="30">
        <v>-7362604.039288336</v>
      </c>
      <c r="L72" s="22"/>
      <c r="M72" s="9" t="s">
        <v>28</v>
      </c>
      <c r="N72" s="30">
        <v>-10583850.953369275</v>
      </c>
      <c r="O72" s="22"/>
      <c r="P72" s="22"/>
      <c r="Q72" s="22"/>
      <c r="R72" s="9" t="s">
        <v>28</v>
      </c>
      <c r="S72" s="30">
        <v>-14883152.885568554</v>
      </c>
      <c r="T72" s="22"/>
      <c r="U72" s="9" t="s">
        <v>28</v>
      </c>
      <c r="V72" s="30">
        <v>-20617524.26937622</v>
      </c>
      <c r="W72" s="22"/>
      <c r="X72" s="22"/>
      <c r="Y72" s="22"/>
      <c r="Z72" s="9" t="s">
        <v>28</v>
      </c>
      <c r="AA72" s="30">
        <v>-28262154.002493855</v>
      </c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ht="15.75">
      <c r="A73" s="9" t="s">
        <v>29</v>
      </c>
      <c r="B73" s="27">
        <f>SUM(B71:B72)</f>
        <v>45504268.54000001</v>
      </c>
      <c r="C73" s="22"/>
      <c r="D73" s="9" t="s">
        <v>29</v>
      </c>
      <c r="E73" s="27">
        <f>SUM(E71:E72)</f>
        <v>75419759.20229422</v>
      </c>
      <c r="F73" s="22"/>
      <c r="G73" s="22"/>
      <c r="H73" s="22"/>
      <c r="I73" s="22"/>
      <c r="J73" s="9" t="s">
        <v>29</v>
      </c>
      <c r="K73" s="27">
        <f>SUM(K71:K72)</f>
        <v>115461196.81547152</v>
      </c>
      <c r="L73" s="22"/>
      <c r="M73" s="9" t="s">
        <v>29</v>
      </c>
      <c r="N73" s="27">
        <f>SUM(N71:N72)</f>
        <v>168983645.4353547</v>
      </c>
      <c r="O73" s="22"/>
      <c r="P73" s="22"/>
      <c r="Q73" s="22"/>
      <c r="R73" s="9" t="s">
        <v>29</v>
      </c>
      <c r="S73" s="27">
        <f>SUM(S71:S72)</f>
        <v>240452746.2080633</v>
      </c>
      <c r="T73" s="22"/>
      <c r="U73" s="9" t="s">
        <v>29</v>
      </c>
      <c r="V73" s="27">
        <f>SUM(V71:V72)</f>
        <v>335812319.1540418</v>
      </c>
      <c r="W73" s="22"/>
      <c r="X73" s="22"/>
      <c r="Y73" s="22"/>
      <c r="Z73" s="9" t="s">
        <v>29</v>
      </c>
      <c r="AA73" s="27">
        <f>SUM(AA71:AA72)</f>
        <v>462973641.1541663</v>
      </c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ht="15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ht="15.75">
      <c r="A75" s="22" t="s">
        <v>33</v>
      </c>
      <c r="B75" s="22"/>
      <c r="C75" s="22"/>
      <c r="D75" s="22" t="s">
        <v>36</v>
      </c>
      <c r="E75" s="22"/>
      <c r="F75" s="22"/>
      <c r="G75" s="22"/>
      <c r="H75" s="22"/>
      <c r="I75" s="22"/>
      <c r="J75" s="22" t="s">
        <v>39</v>
      </c>
      <c r="K75" s="22"/>
      <c r="L75" s="22"/>
      <c r="M75" s="22" t="s">
        <v>42</v>
      </c>
      <c r="N75" s="22"/>
      <c r="O75" s="22"/>
      <c r="P75" s="22"/>
      <c r="Q75" s="22"/>
      <c r="R75" s="22" t="s">
        <v>45</v>
      </c>
      <c r="S75" s="22"/>
      <c r="T75" s="22"/>
      <c r="U75" s="22" t="s">
        <v>48</v>
      </c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ht="15.75">
      <c r="A76" s="9" t="s">
        <v>19</v>
      </c>
      <c r="B76" s="20">
        <f>'CASH FLOW'!E67</f>
        <v>107885402.9</v>
      </c>
      <c r="C76" s="22"/>
      <c r="D76" s="9" t="s">
        <v>19</v>
      </c>
      <c r="E76" s="20">
        <f>'CASH FLOW'!I67</f>
        <v>143595471.25990003</v>
      </c>
      <c r="F76" s="22"/>
      <c r="G76" s="22"/>
      <c r="H76" s="22"/>
      <c r="I76" s="22"/>
      <c r="J76" s="9" t="s">
        <v>19</v>
      </c>
      <c r="K76" s="20">
        <f>'CASH FLOW'!L67</f>
        <v>191125572.24692696</v>
      </c>
      <c r="L76" s="22"/>
      <c r="M76" s="9" t="s">
        <v>19</v>
      </c>
      <c r="N76" s="20">
        <f>'CASH FLOW'!P67</f>
        <v>254388136.6606598</v>
      </c>
      <c r="O76" s="22"/>
      <c r="P76" s="22"/>
      <c r="Q76" s="22"/>
      <c r="R76" s="9" t="s">
        <v>19</v>
      </c>
      <c r="S76" s="20">
        <f>'CASH FLOW'!T67</f>
        <v>338590609.8953382</v>
      </c>
      <c r="T76" s="22"/>
      <c r="U76" s="9" t="s">
        <v>19</v>
      </c>
      <c r="V76" s="20">
        <f>'CASH FLOW'!W67</f>
        <v>450664101.77069515</v>
      </c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</row>
    <row r="77" spans="1:42" ht="16.5" thickBot="1">
      <c r="A77" s="9" t="s">
        <v>26</v>
      </c>
      <c r="B77" s="30">
        <f>B49</f>
        <v>-49672428.309</v>
      </c>
      <c r="C77" s="22"/>
      <c r="D77" s="9" t="s">
        <v>26</v>
      </c>
      <c r="E77" s="30">
        <f>E49</f>
        <v>-50421246.37481171</v>
      </c>
      <c r="F77" s="22"/>
      <c r="G77" s="22"/>
      <c r="H77" s="22"/>
      <c r="I77" s="22"/>
      <c r="J77" s="9" t="s">
        <v>26</v>
      </c>
      <c r="K77" s="30">
        <f>K21</f>
        <v>-51181352.96656779</v>
      </c>
      <c r="L77" s="22"/>
      <c r="M77" s="9" t="s">
        <v>26</v>
      </c>
      <c r="N77" s="30">
        <f>N21</f>
        <v>-51952918.26020792</v>
      </c>
      <c r="O77" s="22"/>
      <c r="P77" s="22"/>
      <c r="Q77" s="22"/>
      <c r="R77" s="9" t="s">
        <v>26</v>
      </c>
      <c r="S77" s="30">
        <f>S21</f>
        <v>-52736114.99709533</v>
      </c>
      <c r="T77" s="22"/>
      <c r="U77" s="9" t="s">
        <v>26</v>
      </c>
      <c r="V77" s="30">
        <f>V21</f>
        <v>-53531118.522690915</v>
      </c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</row>
    <row r="78" spans="1:42" ht="15.75">
      <c r="A78" s="9" t="s">
        <v>27</v>
      </c>
      <c r="B78" s="17">
        <f>SUM(B76:B77)</f>
        <v>58212974.591000006</v>
      </c>
      <c r="C78" s="22"/>
      <c r="D78" s="9" t="s">
        <v>27</v>
      </c>
      <c r="E78" s="17">
        <f>SUM(E76:E77)</f>
        <v>93174224.88508832</v>
      </c>
      <c r="F78" s="22"/>
      <c r="G78" s="22"/>
      <c r="H78" s="22"/>
      <c r="I78" s="22"/>
      <c r="J78" s="9" t="s">
        <v>27</v>
      </c>
      <c r="K78" s="17">
        <f>SUM(K76:K77)</f>
        <v>139944219.28035918</v>
      </c>
      <c r="L78" s="22"/>
      <c r="M78" s="9" t="s">
        <v>27</v>
      </c>
      <c r="N78" s="17">
        <f>SUM(N76:N77)</f>
        <v>202435218.40045187</v>
      </c>
      <c r="O78" s="22"/>
      <c r="P78" s="22"/>
      <c r="Q78" s="22"/>
      <c r="R78" s="9" t="s">
        <v>27</v>
      </c>
      <c r="S78" s="17">
        <f>SUM(S76:S77)</f>
        <v>285854494.89824283</v>
      </c>
      <c r="T78" s="22"/>
      <c r="U78" s="9" t="s">
        <v>27</v>
      </c>
      <c r="V78" s="17">
        <f>SUM(V76:V77)</f>
        <v>397132983.24800426</v>
      </c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</row>
    <row r="79" spans="1:42" ht="16.5" thickBot="1">
      <c r="A79" s="9" t="s">
        <v>28</v>
      </c>
      <c r="B79" s="30">
        <v>-3691743.0033</v>
      </c>
      <c r="C79" s="22"/>
      <c r="D79" s="9" t="s">
        <v>28</v>
      </c>
      <c r="E79" s="30">
        <v>-5678619.977427623</v>
      </c>
      <c r="F79" s="22"/>
      <c r="G79" s="22"/>
      <c r="H79" s="22"/>
      <c r="I79" s="22"/>
      <c r="J79" s="9" t="s">
        <v>28</v>
      </c>
      <c r="K79" s="30">
        <v>-8334684.344458777</v>
      </c>
      <c r="L79" s="22"/>
      <c r="M79" s="9" t="s">
        <v>28</v>
      </c>
      <c r="N79" s="30">
        <v>-11881610.964436516</v>
      </c>
      <c r="O79" s="22"/>
      <c r="P79" s="22"/>
      <c r="Q79" s="22"/>
      <c r="R79" s="9" t="s">
        <v>28</v>
      </c>
      <c r="S79" s="30">
        <v>-16614451.696632221</v>
      </c>
      <c r="T79" s="22"/>
      <c r="U79" s="9" t="s">
        <v>28</v>
      </c>
      <c r="V79" s="30">
        <v>-22925923.22579538</v>
      </c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</row>
    <row r="80" spans="1:42" ht="15.75">
      <c r="A80" s="9" t="s">
        <v>29</v>
      </c>
      <c r="B80" s="27">
        <f>SUM(B78:B79)</f>
        <v>54521231.58770001</v>
      </c>
      <c r="C80" s="22"/>
      <c r="D80" s="9" t="s">
        <v>29</v>
      </c>
      <c r="E80" s="27">
        <f>SUM(E78:E79)</f>
        <v>87495604.90766071</v>
      </c>
      <c r="F80" s="22"/>
      <c r="G80" s="22"/>
      <c r="H80" s="22"/>
      <c r="I80" s="22"/>
      <c r="J80" s="9" t="s">
        <v>29</v>
      </c>
      <c r="K80" s="27">
        <f>SUM(K78:K79)</f>
        <v>131609534.9359004</v>
      </c>
      <c r="L80" s="22"/>
      <c r="M80" s="9" t="s">
        <v>29</v>
      </c>
      <c r="N80" s="27">
        <f>SUM(N78:N79)</f>
        <v>190553607.43601537</v>
      </c>
      <c r="O80" s="22"/>
      <c r="P80" s="22"/>
      <c r="Q80" s="22"/>
      <c r="R80" s="9" t="s">
        <v>29</v>
      </c>
      <c r="S80" s="27">
        <f>SUM(S78:S79)</f>
        <v>269240043.2016106</v>
      </c>
      <c r="T80" s="22"/>
      <c r="U80" s="9" t="s">
        <v>29</v>
      </c>
      <c r="V80" s="27">
        <f>SUM(V78:V79)</f>
        <v>374207060.02220887</v>
      </c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</row>
    <row r="81" spans="1:42" ht="15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</row>
    <row r="82" spans="1:42" ht="15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</row>
    <row r="83" spans="1:42" ht="15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</row>
    <row r="84" spans="1:42" ht="15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</row>
    <row r="85" spans="1:42" ht="15.75">
      <c r="A85" s="22"/>
      <c r="B85" s="68" t="s">
        <v>56</v>
      </c>
      <c r="C85" s="68"/>
      <c r="D85" s="68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</row>
    <row r="86" spans="1:42" ht="15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</row>
    <row r="87" spans="1:42" ht="15.75">
      <c r="A87" s="28" t="s">
        <v>73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</row>
    <row r="88" spans="1:42" ht="15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</row>
    <row r="89" spans="1:42" ht="15.75">
      <c r="A89" s="22" t="s">
        <v>31</v>
      </c>
      <c r="B89" s="22"/>
      <c r="C89" s="22"/>
      <c r="D89" s="22" t="s">
        <v>34</v>
      </c>
      <c r="E89" s="22"/>
      <c r="F89" s="22"/>
      <c r="G89" s="22"/>
      <c r="H89" s="22"/>
      <c r="I89" s="22"/>
      <c r="J89" s="22" t="s">
        <v>37</v>
      </c>
      <c r="K89" s="22"/>
      <c r="L89" s="22"/>
      <c r="M89" s="22" t="s">
        <v>40</v>
      </c>
      <c r="N89" s="22"/>
      <c r="O89" s="22"/>
      <c r="P89" s="22"/>
      <c r="Q89" s="22"/>
      <c r="R89" s="22" t="s">
        <v>43</v>
      </c>
      <c r="S89" s="22"/>
      <c r="T89" s="22"/>
      <c r="U89" s="22" t="s">
        <v>46</v>
      </c>
      <c r="V89" s="22"/>
      <c r="W89" s="22"/>
      <c r="X89" s="22"/>
      <c r="Y89" s="22"/>
      <c r="Z89" s="22" t="s">
        <v>49</v>
      </c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</row>
    <row r="90" spans="1:42" ht="15.75">
      <c r="A90" s="9" t="s">
        <v>19</v>
      </c>
      <c r="B90" s="20">
        <f>'CASH FLOW'!C97</f>
        <v>79395580</v>
      </c>
      <c r="C90" s="22"/>
      <c r="D90" s="9" t="s">
        <v>19</v>
      </c>
      <c r="E90" s="20">
        <f>'CASH FLOW'!F97</f>
        <v>105675516.97999999</v>
      </c>
      <c r="F90" s="22"/>
      <c r="G90" s="22"/>
      <c r="H90" s="22"/>
      <c r="I90" s="22"/>
      <c r="J90" s="9" t="s">
        <v>19</v>
      </c>
      <c r="K90" s="20">
        <f>'CASH FLOW'!J97</f>
        <v>140654113.10037997</v>
      </c>
      <c r="L90" s="22"/>
      <c r="M90" s="9" t="s">
        <v>19</v>
      </c>
      <c r="N90" s="20">
        <f>'CASH FLOW'!N97</f>
        <v>187210624.53660575</v>
      </c>
      <c r="O90" s="22"/>
      <c r="P90" s="22"/>
      <c r="Q90" s="22"/>
      <c r="R90" s="9" t="s">
        <v>19</v>
      </c>
      <c r="S90" s="20">
        <f>'CASH FLOW'!Q97</f>
        <v>249177341.25822228</v>
      </c>
      <c r="T90" s="22"/>
      <c r="U90" s="9" t="s">
        <v>19</v>
      </c>
      <c r="V90" s="20">
        <f>'CASH FLOW'!U97</f>
        <v>331655041.2146939</v>
      </c>
      <c r="W90" s="22"/>
      <c r="X90" s="22"/>
      <c r="Y90" s="22"/>
      <c r="Z90" s="9" t="s">
        <v>19</v>
      </c>
      <c r="AA90" s="20">
        <f>'CASH FLOW'!X97</f>
        <v>441432859.8567575</v>
      </c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</row>
    <row r="91" spans="1:42" ht="16.5" thickBot="1">
      <c r="A91" s="9" t="s">
        <v>26</v>
      </c>
      <c r="B91" s="30">
        <f>B35</f>
        <v>-47071716</v>
      </c>
      <c r="C91" s="22"/>
      <c r="D91" s="9" t="s">
        <v>26</v>
      </c>
      <c r="E91" s="30">
        <f>E35</f>
        <v>-49920790.450545</v>
      </c>
      <c r="F91" s="22"/>
      <c r="G91" s="22"/>
      <c r="H91" s="22"/>
      <c r="I91" s="22"/>
      <c r="J91" s="9" t="s">
        <v>26</v>
      </c>
      <c r="K91" s="30">
        <f>K7</f>
        <v>-50673352.606685765</v>
      </c>
      <c r="L91" s="22"/>
      <c r="M91" s="9" t="s">
        <v>26</v>
      </c>
      <c r="N91" s="30">
        <f>N7</f>
        <v>-51437259.73140063</v>
      </c>
      <c r="O91" s="22"/>
      <c r="P91" s="22"/>
      <c r="Q91" s="22"/>
      <c r="R91" s="9" t="s">
        <v>26</v>
      </c>
      <c r="S91" s="30">
        <f>S7</f>
        <v>-52212682.85150896</v>
      </c>
      <c r="T91" s="22"/>
      <c r="U91" s="9" t="s">
        <v>26</v>
      </c>
      <c r="V91" s="30">
        <f>V7</f>
        <v>-52999795.572080806</v>
      </c>
      <c r="W91" s="22"/>
      <c r="X91" s="22"/>
      <c r="Y91" s="22"/>
      <c r="Z91" s="9" t="s">
        <v>26</v>
      </c>
      <c r="AA91" s="30">
        <f>AA7</f>
        <v>-53798774.115304366</v>
      </c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</row>
    <row r="92" spans="1:42" ht="15.75">
      <c r="A92" s="9" t="s">
        <v>27</v>
      </c>
      <c r="B92" s="17">
        <f>SUM(B90:B91)</f>
        <v>32323864</v>
      </c>
      <c r="C92" s="22"/>
      <c r="D92" s="9" t="s">
        <v>27</v>
      </c>
      <c r="E92" s="17">
        <f>SUM(E90:E91)</f>
        <v>55754726.52945499</v>
      </c>
      <c r="F92" s="22"/>
      <c r="G92" s="22"/>
      <c r="H92" s="22"/>
      <c r="I92" s="22"/>
      <c r="J92" s="9" t="s">
        <v>27</v>
      </c>
      <c r="K92" s="17">
        <f>SUM(K90:K91)</f>
        <v>89980760.49369422</v>
      </c>
      <c r="L92" s="22"/>
      <c r="M92" s="9" t="s">
        <v>27</v>
      </c>
      <c r="N92" s="17">
        <f>SUM(N90:N91)</f>
        <v>135773364.8052051</v>
      </c>
      <c r="O92" s="22"/>
      <c r="P92" s="22"/>
      <c r="Q92" s="22"/>
      <c r="R92" s="9" t="s">
        <v>27</v>
      </c>
      <c r="S92" s="17">
        <f>SUM(S90:S91)</f>
        <v>196964658.4067133</v>
      </c>
      <c r="T92" s="22"/>
      <c r="U92" s="9" t="s">
        <v>27</v>
      </c>
      <c r="V92" s="17">
        <f>SUM(V90:V91)</f>
        <v>278655245.6426131</v>
      </c>
      <c r="W92" s="22"/>
      <c r="X92" s="22"/>
      <c r="Y92" s="22"/>
      <c r="Z92" s="9" t="s">
        <v>27</v>
      </c>
      <c r="AA92" s="17">
        <f>SUM(AA90:AA91)</f>
        <v>387634085.7414532</v>
      </c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</row>
    <row r="93" spans="1:42" ht="16.5" thickBot="1">
      <c r="A93" s="9" t="s">
        <v>28</v>
      </c>
      <c r="B93" s="30">
        <v>-2757589.2</v>
      </c>
      <c r="C93" s="22"/>
      <c r="D93" s="9" t="s">
        <v>28</v>
      </c>
      <c r="E93" s="30">
        <v>-4290929.1183165</v>
      </c>
      <c r="F93" s="22"/>
      <c r="G93" s="22"/>
      <c r="H93" s="22"/>
      <c r="I93" s="22"/>
      <c r="J93" s="9" t="s">
        <v>28</v>
      </c>
      <c r="K93" s="30">
        <v>-6479961.246714761</v>
      </c>
      <c r="L93" s="22"/>
      <c r="M93" s="9" t="s">
        <v>28</v>
      </c>
      <c r="N93" s="30">
        <v>-9405151.77965247</v>
      </c>
      <c r="O93" s="22"/>
      <c r="P93" s="22"/>
      <c r="Q93" s="22"/>
      <c r="R93" s="9" t="s">
        <v>28</v>
      </c>
      <c r="S93" s="30">
        <v>-13310343.85118913</v>
      </c>
      <c r="T93" s="22"/>
      <c r="U93" s="9" t="s">
        <v>28</v>
      </c>
      <c r="V93" s="30">
        <v>-18520095.306414794</v>
      </c>
      <c r="W93" s="22"/>
      <c r="X93" s="22"/>
      <c r="Y93" s="22"/>
      <c r="Z93" s="9" t="s">
        <v>28</v>
      </c>
      <c r="AA93" s="30">
        <v>-25466395.31050387</v>
      </c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</row>
    <row r="94" spans="1:42" ht="15.75">
      <c r="A94" s="9" t="s">
        <v>29</v>
      </c>
      <c r="B94" s="27">
        <f>SUM(B92:B93)</f>
        <v>29566274.8</v>
      </c>
      <c r="C94" s="22"/>
      <c r="D94" s="9" t="s">
        <v>29</v>
      </c>
      <c r="E94" s="27">
        <f>SUM(E92:E93)</f>
        <v>51463797.41113849</v>
      </c>
      <c r="F94" s="22"/>
      <c r="G94" s="22"/>
      <c r="H94" s="22"/>
      <c r="I94" s="22"/>
      <c r="J94" s="9" t="s">
        <v>29</v>
      </c>
      <c r="K94" s="27">
        <f>SUM(K92:K93)</f>
        <v>83500799.24697946</v>
      </c>
      <c r="L94" s="22"/>
      <c r="M94" s="9" t="s">
        <v>29</v>
      </c>
      <c r="N94" s="27">
        <f>SUM(N92:N93)</f>
        <v>126368213.02555263</v>
      </c>
      <c r="O94" s="22"/>
      <c r="P94" s="22"/>
      <c r="Q94" s="22"/>
      <c r="R94" s="9" t="s">
        <v>29</v>
      </c>
      <c r="S94" s="27">
        <f>SUM(S92:S93)</f>
        <v>183654314.55552417</v>
      </c>
      <c r="T94" s="22"/>
      <c r="U94" s="9" t="s">
        <v>29</v>
      </c>
      <c r="V94" s="27">
        <f>SUM(V92:V93)</f>
        <v>260135150.33619833</v>
      </c>
      <c r="W94" s="22"/>
      <c r="X94" s="22"/>
      <c r="Y94" s="22"/>
      <c r="Z94" s="9" t="s">
        <v>29</v>
      </c>
      <c r="AA94" s="27">
        <f>SUM(AA92:AA93)</f>
        <v>362167690.43094933</v>
      </c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</row>
    <row r="95" spans="1:42" ht="15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</row>
    <row r="96" spans="1:42" ht="15.75">
      <c r="A96" s="22" t="s">
        <v>32</v>
      </c>
      <c r="B96" s="22"/>
      <c r="C96" s="22"/>
      <c r="D96" s="22" t="s">
        <v>35</v>
      </c>
      <c r="E96" s="22"/>
      <c r="F96" s="22"/>
      <c r="G96" s="22"/>
      <c r="H96" s="22"/>
      <c r="I96" s="22"/>
      <c r="J96" s="22" t="s">
        <v>38</v>
      </c>
      <c r="K96" s="22"/>
      <c r="L96" s="22"/>
      <c r="M96" s="22" t="s">
        <v>41</v>
      </c>
      <c r="N96" s="22"/>
      <c r="O96" s="22"/>
      <c r="P96" s="22"/>
      <c r="Q96" s="22"/>
      <c r="R96" s="22" t="s">
        <v>44</v>
      </c>
      <c r="S96" s="22"/>
      <c r="T96" s="22"/>
      <c r="U96" s="22" t="s">
        <v>47</v>
      </c>
      <c r="V96" s="22"/>
      <c r="W96" s="22"/>
      <c r="X96" s="22"/>
      <c r="Y96" s="22"/>
      <c r="Z96" s="22" t="s">
        <v>50</v>
      </c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</row>
    <row r="97" spans="1:42" ht="15.75">
      <c r="A97" s="9" t="s">
        <v>19</v>
      </c>
      <c r="B97" s="20">
        <f>'CASH FLOW'!D97</f>
        <v>87335138</v>
      </c>
      <c r="C97" s="22"/>
      <c r="D97" s="9" t="s">
        <v>19</v>
      </c>
      <c r="E97" s="20">
        <f>'CASH FLOW'!H97</f>
        <v>116243068.67799999</v>
      </c>
      <c r="F97" s="22"/>
      <c r="G97" s="22"/>
      <c r="H97" s="22"/>
      <c r="I97" s="22"/>
      <c r="J97" s="9" t="s">
        <v>19</v>
      </c>
      <c r="K97" s="20">
        <f>'CASH FLOW'!K97</f>
        <v>154719524.41041797</v>
      </c>
      <c r="L97" s="22"/>
      <c r="M97" s="9" t="s">
        <v>19</v>
      </c>
      <c r="N97" s="20">
        <f>'CASH FLOW'!O97</f>
        <v>205931686.99026632</v>
      </c>
      <c r="O97" s="22"/>
      <c r="P97" s="22"/>
      <c r="Q97" s="22"/>
      <c r="R97" s="9" t="s">
        <v>19</v>
      </c>
      <c r="S97" s="20">
        <f>'CASH FLOW'!R97</f>
        <v>274095075.3840445</v>
      </c>
      <c r="T97" s="22"/>
      <c r="U97" s="9" t="s">
        <v>19</v>
      </c>
      <c r="V97" s="20">
        <f>'CASH FLOW'!V97</f>
        <v>364820545.3361633</v>
      </c>
      <c r="W97" s="22"/>
      <c r="X97" s="22"/>
      <c r="Y97" s="22"/>
      <c r="Z97" s="9" t="s">
        <v>19</v>
      </c>
      <c r="AA97" s="20">
        <f>'CASH FLOW'!Y97</f>
        <v>485576145.8424333</v>
      </c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</row>
    <row r="98" spans="1:42" ht="16.5" thickBot="1">
      <c r="A98" s="9" t="s">
        <v>26</v>
      </c>
      <c r="B98" s="30">
        <f>B42</f>
        <v>-49425301.8</v>
      </c>
      <c r="C98" s="22"/>
      <c r="D98" s="9" t="s">
        <v>26</v>
      </c>
      <c r="E98" s="30">
        <f>E42</f>
        <v>-50170394.40279772</v>
      </c>
      <c r="F98" s="22"/>
      <c r="G98" s="22"/>
      <c r="H98" s="22"/>
      <c r="I98" s="22"/>
      <c r="J98" s="9" t="s">
        <v>26</v>
      </c>
      <c r="K98" s="30">
        <f>K14</f>
        <v>-50926719.36971919</v>
      </c>
      <c r="L98" s="22"/>
      <c r="M98" s="9" t="s">
        <v>26</v>
      </c>
      <c r="N98" s="30">
        <f>N14</f>
        <v>-51694446.03005763</v>
      </c>
      <c r="O98" s="22"/>
      <c r="P98" s="22"/>
      <c r="Q98" s="22"/>
      <c r="R98" s="9" t="s">
        <v>26</v>
      </c>
      <c r="S98" s="30">
        <f>S14</f>
        <v>-52473746.2657665</v>
      </c>
      <c r="T98" s="22"/>
      <c r="U98" s="9" t="s">
        <v>26</v>
      </c>
      <c r="V98" s="30">
        <f>V14</f>
        <v>-53264794.54994121</v>
      </c>
      <c r="W98" s="22"/>
      <c r="X98" s="22"/>
      <c r="Y98" s="22"/>
      <c r="Z98" s="9" t="s">
        <v>26</v>
      </c>
      <c r="AA98" s="30">
        <f>AA14</f>
        <v>-54067767.98588089</v>
      </c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</row>
    <row r="99" spans="1:42" ht="15.75">
      <c r="A99" s="9" t="s">
        <v>27</v>
      </c>
      <c r="B99" s="17">
        <f>SUM(B97:B98)</f>
        <v>37909836.2</v>
      </c>
      <c r="C99" s="22"/>
      <c r="D99" s="9" t="s">
        <v>27</v>
      </c>
      <c r="E99" s="17">
        <f>SUM(E97:E98)</f>
        <v>66072674.27520227</v>
      </c>
      <c r="F99" s="22"/>
      <c r="G99" s="22"/>
      <c r="H99" s="22"/>
      <c r="I99" s="22"/>
      <c r="J99" s="9" t="s">
        <v>27</v>
      </c>
      <c r="K99" s="17">
        <f>SUM(K97:K98)</f>
        <v>103792805.04069878</v>
      </c>
      <c r="L99" s="22"/>
      <c r="M99" s="9" t="s">
        <v>27</v>
      </c>
      <c r="N99" s="17">
        <f>SUM(N97:N98)</f>
        <v>154237240.96020868</v>
      </c>
      <c r="O99" s="22"/>
      <c r="P99" s="22"/>
      <c r="Q99" s="22"/>
      <c r="R99" s="9" t="s">
        <v>27</v>
      </c>
      <c r="S99" s="17">
        <f>SUM(S97:S98)</f>
        <v>221621329.11827803</v>
      </c>
      <c r="T99" s="22"/>
      <c r="U99" s="9" t="s">
        <v>27</v>
      </c>
      <c r="V99" s="17">
        <f>SUM(V97:V98)</f>
        <v>311555750.7862221</v>
      </c>
      <c r="W99" s="22"/>
      <c r="X99" s="22"/>
      <c r="Y99" s="22"/>
      <c r="Z99" s="9" t="s">
        <v>27</v>
      </c>
      <c r="AA99" s="17">
        <f>SUM(AA97:AA98)</f>
        <v>431508377.85655236</v>
      </c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</row>
    <row r="100" spans="1:42" ht="16.5" thickBot="1">
      <c r="A100" s="9" t="s">
        <v>28</v>
      </c>
      <c r="B100" s="30">
        <v>-3148068.66</v>
      </c>
      <c r="C100" s="22"/>
      <c r="D100" s="9" t="s">
        <v>28</v>
      </c>
      <c r="E100" s="30">
        <v>-4951183.903908083</v>
      </c>
      <c r="F100" s="22"/>
      <c r="G100" s="22"/>
      <c r="H100" s="22"/>
      <c r="I100" s="22"/>
      <c r="J100" s="9" t="s">
        <v>28</v>
      </c>
      <c r="K100" s="30">
        <v>-7362604.039288336</v>
      </c>
      <c r="L100" s="22"/>
      <c r="M100" s="9" t="s">
        <v>28</v>
      </c>
      <c r="N100" s="30">
        <v>-10583850.953369275</v>
      </c>
      <c r="O100" s="22"/>
      <c r="P100" s="22"/>
      <c r="Q100" s="22"/>
      <c r="R100" s="9" t="s">
        <v>28</v>
      </c>
      <c r="S100" s="30">
        <v>-14883152.885568554</v>
      </c>
      <c r="T100" s="22"/>
      <c r="U100" s="9" t="s">
        <v>28</v>
      </c>
      <c r="V100" s="30">
        <v>-20617524.26937622</v>
      </c>
      <c r="W100" s="22"/>
      <c r="X100" s="22"/>
      <c r="Y100" s="22"/>
      <c r="Z100" s="9" t="s">
        <v>28</v>
      </c>
      <c r="AA100" s="30">
        <v>-28262154.002493855</v>
      </c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</row>
    <row r="101" spans="1:42" ht="15.75">
      <c r="A101" s="9" t="s">
        <v>29</v>
      </c>
      <c r="B101" s="27">
        <f>SUM(B99:B100)</f>
        <v>34761767.54000001</v>
      </c>
      <c r="C101" s="22"/>
      <c r="D101" s="9" t="s">
        <v>29</v>
      </c>
      <c r="E101" s="27">
        <f>SUM(E99:E100)</f>
        <v>61121490.371294186</v>
      </c>
      <c r="F101" s="22"/>
      <c r="G101" s="22"/>
      <c r="H101" s="22"/>
      <c r="I101" s="22"/>
      <c r="J101" s="9" t="s">
        <v>29</v>
      </c>
      <c r="K101" s="27">
        <f>SUM(K99:K100)</f>
        <v>96430201.00141044</v>
      </c>
      <c r="L101" s="22"/>
      <c r="M101" s="9" t="s">
        <v>29</v>
      </c>
      <c r="N101" s="27">
        <f>SUM(N99:N100)</f>
        <v>143653390.0068394</v>
      </c>
      <c r="O101" s="22"/>
      <c r="P101" s="22"/>
      <c r="Q101" s="22"/>
      <c r="R101" s="9" t="s">
        <v>29</v>
      </c>
      <c r="S101" s="27">
        <f>SUM(S99:S100)</f>
        <v>206738176.23270947</v>
      </c>
      <c r="T101" s="22"/>
      <c r="U101" s="9" t="s">
        <v>29</v>
      </c>
      <c r="V101" s="27">
        <f>SUM(V99:V100)</f>
        <v>290938226.5168459</v>
      </c>
      <c r="W101" s="22"/>
      <c r="X101" s="22"/>
      <c r="Y101" s="22"/>
      <c r="Z101" s="9" t="s">
        <v>29</v>
      </c>
      <c r="AA101" s="27">
        <f>SUM(AA99:AA100)</f>
        <v>403246223.8540585</v>
      </c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</row>
    <row r="102" spans="1:42" ht="15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</row>
    <row r="103" spans="1:42" ht="15.75">
      <c r="A103" s="22" t="s">
        <v>33</v>
      </c>
      <c r="B103" s="22"/>
      <c r="C103" s="22"/>
      <c r="D103" s="22" t="s">
        <v>36</v>
      </c>
      <c r="E103" s="22"/>
      <c r="F103" s="22"/>
      <c r="G103" s="22"/>
      <c r="H103" s="22"/>
      <c r="I103" s="22"/>
      <c r="J103" s="22" t="s">
        <v>39</v>
      </c>
      <c r="K103" s="22"/>
      <c r="L103" s="22"/>
      <c r="M103" s="22" t="s">
        <v>42</v>
      </c>
      <c r="N103" s="22"/>
      <c r="O103" s="22"/>
      <c r="P103" s="22"/>
      <c r="Q103" s="22"/>
      <c r="R103" s="22" t="s">
        <v>45</v>
      </c>
      <c r="S103" s="22"/>
      <c r="T103" s="22"/>
      <c r="U103" s="22" t="s">
        <v>48</v>
      </c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</row>
    <row r="104" spans="1:42" ht="15.75">
      <c r="A104" s="9" t="s">
        <v>19</v>
      </c>
      <c r="B104" s="20">
        <f>'CASH FLOW'!E97</f>
        <v>96068651.8</v>
      </c>
      <c r="C104" s="22"/>
      <c r="D104" s="9" t="s">
        <v>19</v>
      </c>
      <c r="E104" s="20">
        <f>'CASH FLOW'!I97</f>
        <v>127867375.54579999</v>
      </c>
      <c r="F104" s="22"/>
      <c r="G104" s="22"/>
      <c r="H104" s="22"/>
      <c r="I104" s="22"/>
      <c r="J104" s="9" t="s">
        <v>19</v>
      </c>
      <c r="K104" s="20">
        <f>'CASH FLOW'!L97</f>
        <v>170191476.85145977</v>
      </c>
      <c r="L104" s="22"/>
      <c r="M104" s="9" t="s">
        <v>19</v>
      </c>
      <c r="N104" s="20">
        <f>'CASH FLOW'!P97</f>
        <v>226524855.68929297</v>
      </c>
      <c r="O104" s="22"/>
      <c r="P104" s="22"/>
      <c r="Q104" s="22"/>
      <c r="R104" s="9" t="s">
        <v>19</v>
      </c>
      <c r="S104" s="20">
        <f>'CASH FLOW'!T97</f>
        <v>301504582.922449</v>
      </c>
      <c r="T104" s="22"/>
      <c r="U104" s="9" t="s">
        <v>19</v>
      </c>
      <c r="V104" s="20">
        <f>'CASH FLOW'!W97</f>
        <v>401302599.8697796</v>
      </c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</row>
    <row r="105" spans="1:42" ht="16.5" thickBot="1">
      <c r="A105" s="9" t="s">
        <v>26</v>
      </c>
      <c r="B105" s="30">
        <f>B49</f>
        <v>-49672428.309</v>
      </c>
      <c r="C105" s="22"/>
      <c r="D105" s="9" t="s">
        <v>26</v>
      </c>
      <c r="E105" s="30">
        <f>E49</f>
        <v>-50421246.37481171</v>
      </c>
      <c r="F105" s="22"/>
      <c r="G105" s="22"/>
      <c r="H105" s="22"/>
      <c r="I105" s="22"/>
      <c r="J105" s="9" t="s">
        <v>26</v>
      </c>
      <c r="K105" s="30">
        <f>K21</f>
        <v>-51181352.96656779</v>
      </c>
      <c r="L105" s="22"/>
      <c r="M105" s="9" t="s">
        <v>26</v>
      </c>
      <c r="N105" s="30">
        <f>N21</f>
        <v>-51952918.26020792</v>
      </c>
      <c r="O105" s="22"/>
      <c r="P105" s="22"/>
      <c r="Q105" s="22"/>
      <c r="R105" s="9" t="s">
        <v>26</v>
      </c>
      <c r="S105" s="30">
        <f>S21</f>
        <v>-52736114.99709533</v>
      </c>
      <c r="T105" s="22"/>
      <c r="U105" s="9" t="s">
        <v>26</v>
      </c>
      <c r="V105" s="30">
        <f>V21</f>
        <v>-53531118.522690915</v>
      </c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</row>
    <row r="106" spans="1:42" ht="15.75">
      <c r="A106" s="9" t="s">
        <v>27</v>
      </c>
      <c r="B106" s="17">
        <f>SUM(B104:B105)</f>
        <v>46396223.491</v>
      </c>
      <c r="C106" s="22"/>
      <c r="D106" s="9" t="s">
        <v>27</v>
      </c>
      <c r="E106" s="17">
        <f>SUM(E104:E105)</f>
        <v>77446129.17098828</v>
      </c>
      <c r="F106" s="22"/>
      <c r="G106" s="22"/>
      <c r="H106" s="22"/>
      <c r="I106" s="22"/>
      <c r="J106" s="9" t="s">
        <v>27</v>
      </c>
      <c r="K106" s="17">
        <f>SUM(K104:K105)</f>
        <v>119010123.88489199</v>
      </c>
      <c r="L106" s="22"/>
      <c r="M106" s="9" t="s">
        <v>27</v>
      </c>
      <c r="N106" s="17">
        <f>SUM(N104:N105)</f>
        <v>174571937.42908505</v>
      </c>
      <c r="O106" s="22"/>
      <c r="P106" s="22"/>
      <c r="Q106" s="22"/>
      <c r="R106" s="9" t="s">
        <v>27</v>
      </c>
      <c r="S106" s="17">
        <f>SUM(S104:S105)</f>
        <v>248768467.92535365</v>
      </c>
      <c r="T106" s="22"/>
      <c r="U106" s="9" t="s">
        <v>27</v>
      </c>
      <c r="V106" s="17">
        <f>SUM(V104:V105)</f>
        <v>347771481.3470887</v>
      </c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</row>
    <row r="107" spans="1:42" ht="16.5" thickBot="1">
      <c r="A107" s="9" t="s">
        <v>28</v>
      </c>
      <c r="B107" s="30">
        <v>-3691743.0033</v>
      </c>
      <c r="C107" s="22"/>
      <c r="D107" s="9" t="s">
        <v>28</v>
      </c>
      <c r="E107" s="30">
        <v>-5678619.977427623</v>
      </c>
      <c r="F107" s="22"/>
      <c r="G107" s="22"/>
      <c r="H107" s="22"/>
      <c r="I107" s="22"/>
      <c r="J107" s="9" t="s">
        <v>28</v>
      </c>
      <c r="K107" s="30">
        <v>-8334684.344458777</v>
      </c>
      <c r="L107" s="22"/>
      <c r="M107" s="9" t="s">
        <v>28</v>
      </c>
      <c r="N107" s="30">
        <v>-11881610.964436516</v>
      </c>
      <c r="O107" s="22"/>
      <c r="P107" s="22"/>
      <c r="Q107" s="22"/>
      <c r="R107" s="9" t="s">
        <v>28</v>
      </c>
      <c r="S107" s="30">
        <v>-16614451.696632221</v>
      </c>
      <c r="T107" s="22"/>
      <c r="U107" s="9" t="s">
        <v>28</v>
      </c>
      <c r="V107" s="30">
        <v>-22925923.22579538</v>
      </c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</row>
    <row r="108" spans="1:42" ht="15.75">
      <c r="A108" s="9" t="s">
        <v>29</v>
      </c>
      <c r="B108" s="27">
        <f>SUM(B106:B107)</f>
        <v>42704480.4877</v>
      </c>
      <c r="C108" s="22"/>
      <c r="D108" s="9" t="s">
        <v>29</v>
      </c>
      <c r="E108" s="27">
        <f>SUM(E106:E107)</f>
        <v>71767509.19356066</v>
      </c>
      <c r="F108" s="22"/>
      <c r="G108" s="22"/>
      <c r="H108" s="22"/>
      <c r="I108" s="22"/>
      <c r="J108" s="9" t="s">
        <v>29</v>
      </c>
      <c r="K108" s="27">
        <f>SUM(K106:K107)</f>
        <v>110675439.54043321</v>
      </c>
      <c r="L108" s="22"/>
      <c r="M108" s="9" t="s">
        <v>29</v>
      </c>
      <c r="N108" s="27">
        <f>SUM(N106:N107)</f>
        <v>162690326.46464854</v>
      </c>
      <c r="O108" s="22"/>
      <c r="P108" s="22"/>
      <c r="Q108" s="22"/>
      <c r="R108" s="9" t="s">
        <v>29</v>
      </c>
      <c r="S108" s="27">
        <f>SUM(S106:S107)</f>
        <v>232154016.22872144</v>
      </c>
      <c r="T108" s="22"/>
      <c r="U108" s="9" t="s">
        <v>29</v>
      </c>
      <c r="V108" s="27">
        <f>SUM(V106:V107)</f>
        <v>324845558.1212933</v>
      </c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</row>
    <row r="109" spans="1:42" ht="15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</row>
    <row r="110" spans="1:42" ht="15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</row>
    <row r="111" spans="1:42" ht="15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</row>
    <row r="112" spans="1:42" ht="15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</row>
  </sheetData>
  <mergeCells count="3">
    <mergeCell ref="B29:D29"/>
    <mergeCell ref="B57:D57"/>
    <mergeCell ref="B85:D85"/>
  </mergeCells>
  <printOptions horizontalCentered="1" verticalCentered="1"/>
  <pageMargins left="0.7874015748031497" right="0.7874015748031497" top="1.2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2"/>
  <sheetViews>
    <sheetView workbookViewId="0" topLeftCell="Q71">
      <selection activeCell="W86" sqref="W86"/>
    </sheetView>
  </sheetViews>
  <sheetFormatPr defaultColWidth="9.140625" defaultRowHeight="12.75"/>
  <cols>
    <col min="1" max="1" width="13.28125" style="1" customWidth="1"/>
    <col min="2" max="2" width="19.28125" style="1" customWidth="1"/>
    <col min="3" max="3" width="18.421875" style="1" customWidth="1"/>
    <col min="4" max="4" width="5.421875" style="1" customWidth="1"/>
    <col min="5" max="5" width="18.140625" style="1" customWidth="1"/>
    <col min="6" max="6" width="17.421875" style="1" bestFit="1" customWidth="1"/>
    <col min="7" max="7" width="16.421875" style="1" customWidth="1"/>
    <col min="8" max="8" width="9.140625" style="1" customWidth="1"/>
    <col min="9" max="10" width="13.28125" style="1" customWidth="1"/>
    <col min="11" max="11" width="19.140625" style="1" bestFit="1" customWidth="1"/>
    <col min="12" max="12" width="12.421875" style="1" customWidth="1"/>
    <col min="13" max="13" width="17.421875" style="1" customWidth="1"/>
    <col min="14" max="14" width="17.421875" style="1" bestFit="1" customWidth="1"/>
    <col min="15" max="18" width="9.140625" style="1" customWidth="1"/>
    <col min="19" max="19" width="13.28125" style="1" bestFit="1" customWidth="1"/>
    <col min="20" max="20" width="19.140625" style="1" customWidth="1"/>
    <col min="21" max="21" width="12.421875" style="1" customWidth="1"/>
    <col min="22" max="24" width="17.421875" style="1" bestFit="1" customWidth="1"/>
    <col min="25" max="26" width="9.140625" style="1" customWidth="1"/>
    <col min="27" max="27" width="13.28125" style="1" customWidth="1"/>
    <col min="28" max="28" width="19.140625" style="1" bestFit="1" customWidth="1"/>
    <col min="29" max="29" width="12.421875" style="1" customWidth="1"/>
    <col min="30" max="30" width="18.28125" style="1" customWidth="1"/>
    <col min="31" max="31" width="12.421875" style="1" customWidth="1"/>
    <col min="32" max="32" width="18.28125" style="1" customWidth="1"/>
    <col min="33" max="16384" width="9.140625" style="1" customWidth="1"/>
  </cols>
  <sheetData>
    <row r="1" spans="1:9" ht="15.75">
      <c r="A1" s="66" t="s">
        <v>74</v>
      </c>
      <c r="B1" s="66"/>
      <c r="C1" s="66"/>
      <c r="D1" s="66"/>
      <c r="E1" s="66"/>
      <c r="F1" s="66"/>
      <c r="G1" s="66"/>
      <c r="H1" s="66"/>
      <c r="I1" s="66"/>
    </row>
    <row r="2" spans="1:32" ht="15.75">
      <c r="A2" s="67" t="s">
        <v>140</v>
      </c>
      <c r="B2" s="67"/>
      <c r="C2" s="67"/>
      <c r="J2" s="7" t="s">
        <v>142</v>
      </c>
      <c r="S2" s="7" t="s">
        <v>143</v>
      </c>
      <c r="AA2" s="66" t="s">
        <v>141</v>
      </c>
      <c r="AB2" s="66"/>
      <c r="AC2" s="66"/>
      <c r="AD2" s="66"/>
      <c r="AE2" s="66"/>
      <c r="AF2" s="66"/>
    </row>
    <row r="3" ht="15.75">
      <c r="E3" s="22"/>
    </row>
    <row r="4" spans="1:32" ht="15.75">
      <c r="A4" s="10" t="s">
        <v>52</v>
      </c>
      <c r="B4" s="10" t="s">
        <v>51</v>
      </c>
      <c r="C4" s="10" t="s">
        <v>54</v>
      </c>
      <c r="D4" s="25"/>
      <c r="J4" s="10" t="s">
        <v>52</v>
      </c>
      <c r="K4" s="10" t="s">
        <v>51</v>
      </c>
      <c r="L4" s="10" t="s">
        <v>57</v>
      </c>
      <c r="M4" s="10" t="s">
        <v>53</v>
      </c>
      <c r="N4" s="10" t="s">
        <v>54</v>
      </c>
      <c r="S4" s="10" t="s">
        <v>52</v>
      </c>
      <c r="T4" s="10" t="s">
        <v>51</v>
      </c>
      <c r="U4" s="10" t="s">
        <v>124</v>
      </c>
      <c r="V4" s="10" t="s">
        <v>53</v>
      </c>
      <c r="W4" s="10" t="s">
        <v>54</v>
      </c>
      <c r="AA4" s="10" t="s">
        <v>52</v>
      </c>
      <c r="AB4" s="10" t="s">
        <v>51</v>
      </c>
      <c r="AC4" s="10" t="s">
        <v>57</v>
      </c>
      <c r="AD4" s="41" t="s">
        <v>53</v>
      </c>
      <c r="AE4" s="48" t="s">
        <v>124</v>
      </c>
      <c r="AF4" s="10" t="s">
        <v>53</v>
      </c>
    </row>
    <row r="5" spans="1:32" ht="15.75">
      <c r="A5" s="10">
        <v>0</v>
      </c>
      <c r="B5" s="23">
        <f>-'CASH FLOW'!B18</f>
        <v>-838132234</v>
      </c>
      <c r="C5" s="23">
        <f>B5</f>
        <v>-838132234</v>
      </c>
      <c r="D5" s="26"/>
      <c r="J5" s="10">
        <v>0</v>
      </c>
      <c r="K5" s="20">
        <v>-838132234</v>
      </c>
      <c r="L5" s="10">
        <v>1</v>
      </c>
      <c r="M5" s="20">
        <f>L5*K5</f>
        <v>-838132234</v>
      </c>
      <c r="N5" s="20">
        <f>M5</f>
        <v>-838132234</v>
      </c>
      <c r="S5" s="10">
        <v>0</v>
      </c>
      <c r="T5" s="20">
        <v>-838132234</v>
      </c>
      <c r="U5" s="10">
        <v>1</v>
      </c>
      <c r="V5" s="20">
        <f aca="true" t="shared" si="0" ref="V5:V25">U5*T5</f>
        <v>-838132234</v>
      </c>
      <c r="W5" s="20">
        <f>V5</f>
        <v>-838132234</v>
      </c>
      <c r="AA5" s="10">
        <v>1</v>
      </c>
      <c r="AB5" s="20">
        <v>55459434.6</v>
      </c>
      <c r="AC5" s="10">
        <v>0.8696</v>
      </c>
      <c r="AD5" s="49">
        <v>48227524.32816</v>
      </c>
      <c r="AE5" s="48">
        <v>0.8333</v>
      </c>
      <c r="AF5" s="20">
        <v>46214346.852180004</v>
      </c>
    </row>
    <row r="6" spans="1:32" ht="15.75">
      <c r="A6" s="10">
        <v>1</v>
      </c>
      <c r="B6" s="23">
        <f>'RUGI LABA TK HUNIAN'!B10</f>
        <v>55459434.6</v>
      </c>
      <c r="C6" s="23">
        <f>C5+B6</f>
        <v>-782672799.4</v>
      </c>
      <c r="D6" s="26"/>
      <c r="F6" s="43"/>
      <c r="G6" s="3"/>
      <c r="J6" s="10">
        <v>1</v>
      </c>
      <c r="K6" s="20">
        <v>55459434.6</v>
      </c>
      <c r="L6" s="10">
        <v>0.8696</v>
      </c>
      <c r="M6" s="20">
        <f aca="true" t="shared" si="1" ref="M6:M25">L6*K6</f>
        <v>48227524.32816</v>
      </c>
      <c r="N6" s="20">
        <f>N5+M6</f>
        <v>-789904709.67184</v>
      </c>
      <c r="P6" s="44"/>
      <c r="S6" s="10">
        <v>1</v>
      </c>
      <c r="T6" s="20">
        <v>55459434.6</v>
      </c>
      <c r="U6" s="10">
        <v>0.8333</v>
      </c>
      <c r="V6" s="20">
        <f t="shared" si="0"/>
        <v>46214346.852180004</v>
      </c>
      <c r="W6" s="20">
        <f>W5+V6</f>
        <v>-791917887.14782</v>
      </c>
      <c r="X6" s="44"/>
      <c r="AA6" s="10">
        <v>2</v>
      </c>
      <c r="AB6" s="20">
        <v>63123605.28</v>
      </c>
      <c r="AC6" s="10">
        <v>0.7561</v>
      </c>
      <c r="AD6" s="49">
        <v>47727757.952208</v>
      </c>
      <c r="AE6" s="48">
        <v>0.6944</v>
      </c>
      <c r="AF6" s="20">
        <v>43833031.506432004</v>
      </c>
    </row>
    <row r="7" spans="1:32" ht="15.75">
      <c r="A7" s="10">
        <v>2</v>
      </c>
      <c r="B7" s="23">
        <f>'RUGI LABA TK HUNIAN'!B17</f>
        <v>63123605.28</v>
      </c>
      <c r="C7" s="23">
        <f aca="true" t="shared" si="2" ref="C7:C25">C6+B7</f>
        <v>-719549194.12</v>
      </c>
      <c r="D7" s="26"/>
      <c r="G7" s="3">
        <v>85749258</v>
      </c>
      <c r="J7" s="10">
        <v>2</v>
      </c>
      <c r="K7" s="20">
        <v>63123605.28</v>
      </c>
      <c r="L7" s="10">
        <v>0.7561</v>
      </c>
      <c r="M7" s="20">
        <f t="shared" si="1"/>
        <v>47727757.952208</v>
      </c>
      <c r="N7" s="20">
        <f aca="true" t="shared" si="3" ref="N7:N25">N6+M7</f>
        <v>-742176951.7196319</v>
      </c>
      <c r="P7" s="44"/>
      <c r="S7" s="10">
        <v>2</v>
      </c>
      <c r="T7" s="20">
        <v>63123605.28</v>
      </c>
      <c r="U7" s="10">
        <v>0.6944</v>
      </c>
      <c r="V7" s="20">
        <f t="shared" si="0"/>
        <v>43833031.506432004</v>
      </c>
      <c r="W7" s="20">
        <f aca="true" t="shared" si="4" ref="W7:W24">W6+V7</f>
        <v>-748084855.6413879</v>
      </c>
      <c r="X7" s="44"/>
      <c r="AA7" s="10">
        <v>3</v>
      </c>
      <c r="AB7" s="20">
        <v>73661829.1119</v>
      </c>
      <c r="AC7" s="10">
        <v>0.6575</v>
      </c>
      <c r="AD7" s="49">
        <v>48432652.64107425</v>
      </c>
      <c r="AE7" s="48">
        <v>0.5787</v>
      </c>
      <c r="AF7" s="20">
        <v>42628100.50705653</v>
      </c>
    </row>
    <row r="8" spans="1:32" ht="15.75">
      <c r="A8" s="10">
        <v>3</v>
      </c>
      <c r="B8" s="23">
        <f>'RUGI LABA TK HUNIAN'!B24</f>
        <v>73661829.1119</v>
      </c>
      <c r="C8" s="23">
        <f t="shared" si="2"/>
        <v>-645887365.0081</v>
      </c>
      <c r="D8" s="26"/>
      <c r="G8" s="3"/>
      <c r="J8" s="10">
        <v>3</v>
      </c>
      <c r="K8" s="20">
        <v>73661829.1119</v>
      </c>
      <c r="L8" s="10">
        <v>0.6575</v>
      </c>
      <c r="M8" s="20">
        <f t="shared" si="1"/>
        <v>48432652.64107425</v>
      </c>
      <c r="N8" s="20">
        <f t="shared" si="3"/>
        <v>-693744299.0785576</v>
      </c>
      <c r="P8" s="44"/>
      <c r="S8" s="10">
        <v>3</v>
      </c>
      <c r="T8" s="20">
        <v>73661829.1119</v>
      </c>
      <c r="U8" s="10">
        <v>0.5787</v>
      </c>
      <c r="V8" s="20">
        <f t="shared" si="0"/>
        <v>42628100.50705653</v>
      </c>
      <c r="W8" s="20">
        <f t="shared" si="4"/>
        <v>-705456755.1343315</v>
      </c>
      <c r="X8" s="44"/>
      <c r="AA8" s="10">
        <v>4</v>
      </c>
      <c r="AB8" s="20">
        <v>85275004.64350949</v>
      </c>
      <c r="AC8" s="10">
        <v>0.5718</v>
      </c>
      <c r="AD8" s="49">
        <v>48760247.65515873</v>
      </c>
      <c r="AE8" s="48">
        <v>0.4823</v>
      </c>
      <c r="AF8" s="20">
        <v>41128134.73956463</v>
      </c>
    </row>
    <row r="9" spans="1:32" ht="15.75">
      <c r="A9" s="10">
        <v>4</v>
      </c>
      <c r="B9" s="23">
        <f>'RUGI LABA TK HUNIAN'!E10</f>
        <v>85275004.64350949</v>
      </c>
      <c r="C9" s="23">
        <f t="shared" si="2"/>
        <v>-560612360.3645905</v>
      </c>
      <c r="D9" s="26"/>
      <c r="G9" s="3"/>
      <c r="J9" s="10">
        <v>4</v>
      </c>
      <c r="K9" s="20">
        <v>85275004.64350949</v>
      </c>
      <c r="L9" s="10">
        <v>0.5718</v>
      </c>
      <c r="M9" s="20">
        <f t="shared" si="1"/>
        <v>48760247.65515873</v>
      </c>
      <c r="N9" s="20">
        <f t="shared" si="3"/>
        <v>-644984051.4233989</v>
      </c>
      <c r="P9" s="44"/>
      <c r="S9" s="10">
        <v>4</v>
      </c>
      <c r="T9" s="20">
        <v>85275004.64350949</v>
      </c>
      <c r="U9" s="10">
        <v>0.4823</v>
      </c>
      <c r="V9" s="20">
        <f t="shared" si="0"/>
        <v>41128134.73956463</v>
      </c>
      <c r="W9" s="20">
        <f t="shared" si="4"/>
        <v>-664328620.3947668</v>
      </c>
      <c r="X9" s="44"/>
      <c r="AA9" s="10">
        <v>5</v>
      </c>
      <c r="AB9" s="20">
        <v>98070732.69138202</v>
      </c>
      <c r="AC9" s="10">
        <v>0.4972</v>
      </c>
      <c r="AD9" s="49">
        <v>48760768.294155136</v>
      </c>
      <c r="AE9" s="48">
        <v>0.4019</v>
      </c>
      <c r="AF9" s="20">
        <v>39414627.468666434</v>
      </c>
    </row>
    <row r="10" spans="1:32" ht="15.75">
      <c r="A10" s="10">
        <v>5</v>
      </c>
      <c r="B10" s="23">
        <f>'RUGI LABA TK HUNIAN'!E17</f>
        <v>98070732.69138202</v>
      </c>
      <c r="C10" s="23">
        <f t="shared" si="2"/>
        <v>-462541627.6732085</v>
      </c>
      <c r="D10" s="26"/>
      <c r="G10" s="3"/>
      <c r="J10" s="10">
        <v>5</v>
      </c>
      <c r="K10" s="20">
        <v>98070732.69138202</v>
      </c>
      <c r="L10" s="10">
        <v>0.4972</v>
      </c>
      <c r="M10" s="20">
        <f t="shared" si="1"/>
        <v>48760768.294155136</v>
      </c>
      <c r="N10" s="20">
        <f t="shared" si="3"/>
        <v>-596223283.1292437</v>
      </c>
      <c r="P10" s="44"/>
      <c r="S10" s="10">
        <v>5</v>
      </c>
      <c r="T10" s="20">
        <v>98070732.69138202</v>
      </c>
      <c r="U10" s="10">
        <v>0.4019</v>
      </c>
      <c r="V10" s="20">
        <f t="shared" si="0"/>
        <v>39414627.468666434</v>
      </c>
      <c r="W10" s="20">
        <f t="shared" si="4"/>
        <v>-624913992.9261004</v>
      </c>
      <c r="X10" s="44"/>
      <c r="AA10" s="10">
        <v>6</v>
      </c>
      <c r="AB10" s="20">
        <v>112167374.68195945</v>
      </c>
      <c r="AC10" s="10">
        <v>0.4323</v>
      </c>
      <c r="AD10" s="49">
        <v>48489956.075011075</v>
      </c>
      <c r="AE10" s="48">
        <v>0.3349</v>
      </c>
      <c r="AF10" s="20">
        <v>37564853.78098822</v>
      </c>
    </row>
    <row r="11" spans="1:32" ht="15.75">
      <c r="A11" s="10">
        <v>6</v>
      </c>
      <c r="B11" s="23">
        <f>'RUGI LABA TK HUNIAN'!E24</f>
        <v>112167374.68195945</v>
      </c>
      <c r="C11" s="23">
        <f t="shared" si="2"/>
        <v>-350374252.991249</v>
      </c>
      <c r="D11" s="26"/>
      <c r="G11" s="3"/>
      <c r="J11" s="10">
        <v>6</v>
      </c>
      <c r="K11" s="20">
        <v>112167374.68195945</v>
      </c>
      <c r="L11" s="10">
        <v>0.4323</v>
      </c>
      <c r="M11" s="20">
        <f t="shared" si="1"/>
        <v>48489956.075011075</v>
      </c>
      <c r="N11" s="20">
        <f t="shared" si="3"/>
        <v>-547733327.0542326</v>
      </c>
      <c r="P11" s="44"/>
      <c r="S11" s="10">
        <v>6</v>
      </c>
      <c r="T11" s="20">
        <v>112167374.68195945</v>
      </c>
      <c r="U11" s="10">
        <v>0.3349</v>
      </c>
      <c r="V11" s="20">
        <f t="shared" si="0"/>
        <v>37564853.78098822</v>
      </c>
      <c r="W11" s="20">
        <f t="shared" si="4"/>
        <v>-587349139.1451122</v>
      </c>
      <c r="X11" s="44"/>
      <c r="AA11" s="10">
        <v>7</v>
      </c>
      <c r="AB11" s="20">
        <v>127695128.7152018</v>
      </c>
      <c r="AC11" s="10">
        <v>0.3759</v>
      </c>
      <c r="AD11" s="49">
        <v>48000598.88404436</v>
      </c>
      <c r="AE11" s="48">
        <v>0.2791</v>
      </c>
      <c r="AF11" s="20">
        <v>35639710.424412824</v>
      </c>
    </row>
    <row r="12" spans="1:32" ht="15.75">
      <c r="A12" s="10">
        <v>7</v>
      </c>
      <c r="B12" s="23">
        <f>'RUGI LABA TK HUNIAN'!K10</f>
        <v>127695128.7152018</v>
      </c>
      <c r="C12" s="23">
        <f t="shared" si="2"/>
        <v>-222679124.27604723</v>
      </c>
      <c r="D12" s="26"/>
      <c r="G12" s="3"/>
      <c r="J12" s="10">
        <v>7</v>
      </c>
      <c r="K12" s="20">
        <v>127695128.7152018</v>
      </c>
      <c r="L12" s="10">
        <v>0.3759</v>
      </c>
      <c r="M12" s="20">
        <f t="shared" si="1"/>
        <v>48000598.88404436</v>
      </c>
      <c r="N12" s="20">
        <f t="shared" si="3"/>
        <v>-499732728.17018825</v>
      </c>
      <c r="P12" s="44"/>
      <c r="S12" s="10">
        <v>7</v>
      </c>
      <c r="T12" s="20">
        <v>127695128.7152018</v>
      </c>
      <c r="U12" s="10">
        <v>0.2791</v>
      </c>
      <c r="V12" s="20">
        <f t="shared" si="0"/>
        <v>35639710.424412824</v>
      </c>
      <c r="W12" s="20">
        <f t="shared" si="4"/>
        <v>-551709428.7206993</v>
      </c>
      <c r="X12" s="44"/>
      <c r="AA12" s="10">
        <v>8</v>
      </c>
      <c r="AB12" s="20">
        <v>144797213.2345936</v>
      </c>
      <c r="AC12" s="10">
        <v>0.3269</v>
      </c>
      <c r="AD12" s="49">
        <v>47334209.00638865</v>
      </c>
      <c r="AE12" s="48">
        <v>0.2326</v>
      </c>
      <c r="AF12" s="20">
        <v>33679831.79836647</v>
      </c>
    </row>
    <row r="13" spans="1:32" ht="15.75">
      <c r="A13" s="10">
        <v>8</v>
      </c>
      <c r="B13" s="23">
        <f>'RUGI LABA TK HUNIAN'!K17</f>
        <v>144797213.2345936</v>
      </c>
      <c r="C13" s="23">
        <f t="shared" si="2"/>
        <v>-77881911.04145363</v>
      </c>
      <c r="D13" s="26"/>
      <c r="E13" s="3">
        <v>77881911</v>
      </c>
      <c r="G13" s="3"/>
      <c r="J13" s="10">
        <v>8</v>
      </c>
      <c r="K13" s="20">
        <v>144797213.2345936</v>
      </c>
      <c r="L13" s="10">
        <v>0.3269</v>
      </c>
      <c r="M13" s="20">
        <f t="shared" si="1"/>
        <v>47334209.00638865</v>
      </c>
      <c r="N13" s="20">
        <f t="shared" si="3"/>
        <v>-452398519.1637996</v>
      </c>
      <c r="P13" s="44"/>
      <c r="S13" s="10">
        <v>8</v>
      </c>
      <c r="T13" s="20">
        <v>144797213.2345936</v>
      </c>
      <c r="U13" s="10">
        <v>0.2326</v>
      </c>
      <c r="V13" s="20">
        <f t="shared" si="0"/>
        <v>33679831.79836647</v>
      </c>
      <c r="W13" s="20">
        <f t="shared" si="4"/>
        <v>-518029596.9223328</v>
      </c>
      <c r="X13" s="44"/>
      <c r="AA13" s="10">
        <v>9</v>
      </c>
      <c r="AB13" s="20">
        <v>163631169.06416398</v>
      </c>
      <c r="AC13" s="10">
        <v>0.2843</v>
      </c>
      <c r="AD13" s="49">
        <v>46520341.36494182</v>
      </c>
      <c r="AE13" s="48">
        <v>0.1938</v>
      </c>
      <c r="AF13" s="20">
        <v>31711720.56463498</v>
      </c>
    </row>
    <row r="14" spans="1:32" ht="15.75">
      <c r="A14" s="10">
        <v>9</v>
      </c>
      <c r="B14" s="23">
        <f>'RUGI LABA TK HUNIAN'!K24</f>
        <v>163631169.06416398</v>
      </c>
      <c r="C14" s="23">
        <f t="shared" si="2"/>
        <v>85749258.02271035</v>
      </c>
      <c r="D14" s="26"/>
      <c r="G14" s="3"/>
      <c r="J14" s="10">
        <v>9</v>
      </c>
      <c r="K14" s="20">
        <v>163631169.06416398</v>
      </c>
      <c r="L14" s="10">
        <v>0.2843</v>
      </c>
      <c r="M14" s="20">
        <f t="shared" si="1"/>
        <v>46520341.36494182</v>
      </c>
      <c r="N14" s="20">
        <f t="shared" si="3"/>
        <v>-405878177.79885775</v>
      </c>
      <c r="P14" s="44"/>
      <c r="S14" s="10">
        <v>9</v>
      </c>
      <c r="T14" s="20">
        <v>163631169.06416398</v>
      </c>
      <c r="U14" s="10">
        <v>0.1938</v>
      </c>
      <c r="V14" s="20">
        <f t="shared" si="0"/>
        <v>31711720.56463498</v>
      </c>
      <c r="W14" s="20">
        <f t="shared" si="4"/>
        <v>-486317876.35769784</v>
      </c>
      <c r="X14" s="44"/>
      <c r="AA14" s="10">
        <v>10</v>
      </c>
      <c r="AB14" s="20">
        <v>184370291.6492219</v>
      </c>
      <c r="AC14" s="10">
        <v>0.2149</v>
      </c>
      <c r="AD14" s="49">
        <v>39621175.67541779</v>
      </c>
      <c r="AE14" s="48">
        <v>0.1615</v>
      </c>
      <c r="AF14" s="20">
        <v>29775802.10134934</v>
      </c>
    </row>
    <row r="15" spans="1:32" ht="15.75">
      <c r="A15" s="10">
        <v>10</v>
      </c>
      <c r="B15" s="23">
        <f>'RUGI LABA TK HUNIAN'!N10</f>
        <v>184370291.6492219</v>
      </c>
      <c r="C15" s="23">
        <f t="shared" si="2"/>
        <v>270119549.6719322</v>
      </c>
      <c r="D15" s="26"/>
      <c r="G15" s="3"/>
      <c r="J15" s="10">
        <v>10</v>
      </c>
      <c r="K15" s="20">
        <v>184370291.6492219</v>
      </c>
      <c r="L15" s="10">
        <v>0.2149</v>
      </c>
      <c r="M15" s="20">
        <f>L15*K15</f>
        <v>39621175.67541779</v>
      </c>
      <c r="N15" s="20">
        <f t="shared" si="3"/>
        <v>-366257002.12343997</v>
      </c>
      <c r="P15" s="44"/>
      <c r="S15" s="10">
        <v>10</v>
      </c>
      <c r="T15" s="20">
        <v>184370291.6492219</v>
      </c>
      <c r="U15" s="10">
        <v>0.1615</v>
      </c>
      <c r="V15" s="20">
        <f t="shared" si="0"/>
        <v>29775802.10134934</v>
      </c>
      <c r="W15" s="20">
        <f t="shared" si="4"/>
        <v>-456542074.2563485</v>
      </c>
      <c r="X15" s="44"/>
      <c r="AA15" s="10">
        <v>11</v>
      </c>
      <c r="AB15" s="20">
        <v>207205206.52117884</v>
      </c>
      <c r="AC15" s="10">
        <v>0.2149</v>
      </c>
      <c r="AD15" s="49">
        <v>44528398.88140134</v>
      </c>
      <c r="AE15" s="48">
        <v>0.1346</v>
      </c>
      <c r="AF15" s="20">
        <v>27889820.79775067</v>
      </c>
    </row>
    <row r="16" spans="1:32" ht="15.75">
      <c r="A16" s="10">
        <v>11</v>
      </c>
      <c r="B16" s="23">
        <f>'RUGI LABA TK HUNIAN'!N17</f>
        <v>207205206.52117884</v>
      </c>
      <c r="C16" s="23">
        <f t="shared" si="2"/>
        <v>477324756.19311106</v>
      </c>
      <c r="D16" s="26"/>
      <c r="E16" s="7" t="s">
        <v>55</v>
      </c>
      <c r="G16" s="3"/>
      <c r="J16" s="10">
        <v>11</v>
      </c>
      <c r="K16" s="20">
        <v>207205206.52117884</v>
      </c>
      <c r="L16" s="10">
        <v>0.2149</v>
      </c>
      <c r="M16" s="20">
        <f>L16*K16</f>
        <v>44528398.88140134</v>
      </c>
      <c r="N16" s="20">
        <f t="shared" si="3"/>
        <v>-321728603.2420386</v>
      </c>
      <c r="P16" s="44"/>
      <c r="S16" s="10">
        <v>11</v>
      </c>
      <c r="T16" s="20">
        <v>207205206.52117884</v>
      </c>
      <c r="U16" s="10">
        <v>0.1346</v>
      </c>
      <c r="V16" s="20">
        <f t="shared" si="0"/>
        <v>27889820.79775067</v>
      </c>
      <c r="W16" s="20">
        <f t="shared" si="4"/>
        <v>-428652253.45859784</v>
      </c>
      <c r="X16" s="44"/>
      <c r="AA16" s="10">
        <v>12</v>
      </c>
      <c r="AB16" s="20">
        <v>232345602.30886665</v>
      </c>
      <c r="AC16" s="10">
        <v>0.1869</v>
      </c>
      <c r="AD16" s="49">
        <v>43425393.071527176</v>
      </c>
      <c r="AE16" s="48">
        <v>0.1122</v>
      </c>
      <c r="AF16" s="20">
        <v>26069176.579054836</v>
      </c>
    </row>
    <row r="17" spans="1:32" ht="15.75">
      <c r="A17" s="10">
        <v>12</v>
      </c>
      <c r="B17" s="23">
        <f>'RUGI LABA TK HUNIAN'!N24</f>
        <v>232345602.30886665</v>
      </c>
      <c r="C17" s="23">
        <f t="shared" si="2"/>
        <v>709670358.5019777</v>
      </c>
      <c r="D17" s="26"/>
      <c r="G17" s="3"/>
      <c r="J17" s="10">
        <v>12</v>
      </c>
      <c r="K17" s="20">
        <v>232345602.30886665</v>
      </c>
      <c r="L17" s="10">
        <v>0.1869</v>
      </c>
      <c r="M17" s="20">
        <f t="shared" si="1"/>
        <v>43425393.071527176</v>
      </c>
      <c r="N17" s="20">
        <f t="shared" si="3"/>
        <v>-278303210.1705114</v>
      </c>
      <c r="P17" s="44"/>
      <c r="S17" s="10">
        <v>12</v>
      </c>
      <c r="T17" s="20">
        <v>232345602.30886665</v>
      </c>
      <c r="U17" s="10">
        <v>0.1122</v>
      </c>
      <c r="V17" s="20">
        <f t="shared" si="0"/>
        <v>26069176.579054836</v>
      </c>
      <c r="W17" s="20">
        <f t="shared" si="4"/>
        <v>-402583076.879543</v>
      </c>
      <c r="X17" s="44"/>
      <c r="AA17" s="10">
        <v>13</v>
      </c>
      <c r="AB17" s="20">
        <v>260022137.05100104</v>
      </c>
      <c r="AC17" s="10">
        <v>0.1625</v>
      </c>
      <c r="AD17" s="49">
        <v>42253597.27078767</v>
      </c>
      <c r="AE17" s="48">
        <v>0.0935</v>
      </c>
      <c r="AF17" s="20">
        <v>24312069.814268596</v>
      </c>
    </row>
    <row r="18" spans="1:32" ht="15.75">
      <c r="A18" s="10">
        <v>13</v>
      </c>
      <c r="B18" s="23">
        <f>'RUGI LABA TK HUNIAN'!S10</f>
        <v>260022137.05100104</v>
      </c>
      <c r="C18" s="23">
        <f t="shared" si="2"/>
        <v>969692495.5529788</v>
      </c>
      <c r="D18" s="26"/>
      <c r="G18" s="3"/>
      <c r="J18" s="10">
        <v>13</v>
      </c>
      <c r="K18" s="20">
        <v>260022137.05100104</v>
      </c>
      <c r="L18" s="10">
        <v>0.1625</v>
      </c>
      <c r="M18" s="20">
        <f t="shared" si="1"/>
        <v>42253597.27078767</v>
      </c>
      <c r="N18" s="20">
        <f t="shared" si="3"/>
        <v>-236049612.89972377</v>
      </c>
      <c r="P18" s="44"/>
      <c r="S18" s="10">
        <v>13</v>
      </c>
      <c r="T18" s="20">
        <v>260022137.05100104</v>
      </c>
      <c r="U18" s="10">
        <v>0.0935</v>
      </c>
      <c r="V18" s="20">
        <f t="shared" si="0"/>
        <v>24312069.814268596</v>
      </c>
      <c r="W18" s="20">
        <f t="shared" si="4"/>
        <v>-378271007.0652744</v>
      </c>
      <c r="X18" s="44"/>
      <c r="AA18" s="10">
        <v>14</v>
      </c>
      <c r="AB18" s="20">
        <v>290488535.1399052</v>
      </c>
      <c r="AC18" s="10">
        <v>0.1413</v>
      </c>
      <c r="AD18" s="49">
        <v>41046030.01526861</v>
      </c>
      <c r="AE18" s="48">
        <v>0.0779</v>
      </c>
      <c r="AF18" s="20">
        <v>22629056.887398615</v>
      </c>
    </row>
    <row r="19" spans="1:32" ht="15.75">
      <c r="A19" s="10">
        <v>14</v>
      </c>
      <c r="B19" s="23">
        <f>'RUGI LABA TK HUNIAN'!S17</f>
        <v>290488535.1399052</v>
      </c>
      <c r="C19" s="23">
        <f t="shared" si="2"/>
        <v>1260181030.692884</v>
      </c>
      <c r="D19" s="26"/>
      <c r="G19" s="3"/>
      <c r="J19" s="10">
        <v>14</v>
      </c>
      <c r="K19" s="20">
        <v>290488535.1399052</v>
      </c>
      <c r="L19" s="10">
        <v>0.1413</v>
      </c>
      <c r="M19" s="20">
        <f t="shared" si="1"/>
        <v>41046030.01526861</v>
      </c>
      <c r="N19" s="20">
        <f t="shared" si="3"/>
        <v>-195003582.88445514</v>
      </c>
      <c r="P19" s="44"/>
      <c r="S19" s="10">
        <v>14</v>
      </c>
      <c r="T19" s="20">
        <v>290488535.1399052</v>
      </c>
      <c r="U19" s="10">
        <v>0.0779</v>
      </c>
      <c r="V19" s="20">
        <f t="shared" si="0"/>
        <v>22629056.887398615</v>
      </c>
      <c r="W19" s="20">
        <f t="shared" si="4"/>
        <v>-355641950.1778758</v>
      </c>
      <c r="X19" s="44"/>
      <c r="AA19" s="10">
        <v>15</v>
      </c>
      <c r="AB19" s="20">
        <v>324023893.95961875</v>
      </c>
      <c r="AC19" s="10">
        <v>0.1229</v>
      </c>
      <c r="AD19" s="49">
        <v>39822536.567637146</v>
      </c>
      <c r="AE19" s="48">
        <v>0.0649</v>
      </c>
      <c r="AF19" s="20">
        <v>21029150.717979256</v>
      </c>
    </row>
    <row r="20" spans="1:32" ht="15.75">
      <c r="A20" s="10">
        <v>15</v>
      </c>
      <c r="B20" s="23">
        <f>'RUGI LABA TK HUNIAN'!S24</f>
        <v>324023893.95961875</v>
      </c>
      <c r="C20" s="23">
        <f t="shared" si="2"/>
        <v>1584204924.6525028</v>
      </c>
      <c r="D20" s="26"/>
      <c r="G20" s="3"/>
      <c r="J20" s="10">
        <v>15</v>
      </c>
      <c r="K20" s="20">
        <v>324023893.95961875</v>
      </c>
      <c r="L20" s="10">
        <v>0.1229</v>
      </c>
      <c r="M20" s="20">
        <f t="shared" si="1"/>
        <v>39822536.567637146</v>
      </c>
      <c r="N20" s="20">
        <f t="shared" si="3"/>
        <v>-155181046.316818</v>
      </c>
      <c r="P20" s="44"/>
      <c r="S20" s="10">
        <v>15</v>
      </c>
      <c r="T20" s="20">
        <v>324023893.95961875</v>
      </c>
      <c r="U20" s="10">
        <v>0.0649</v>
      </c>
      <c r="V20" s="20">
        <f t="shared" si="0"/>
        <v>21029150.717979256</v>
      </c>
      <c r="W20" s="20">
        <f t="shared" si="4"/>
        <v>-334612799.45989656</v>
      </c>
      <c r="X20" s="44"/>
      <c r="AA20" s="10">
        <v>16</v>
      </c>
      <c r="AB20" s="20">
        <v>360935221.18783236</v>
      </c>
      <c r="AC20" s="10">
        <v>0.1069</v>
      </c>
      <c r="AD20" s="49">
        <v>38583975.144979276</v>
      </c>
      <c r="AE20" s="48">
        <v>0.0541</v>
      </c>
      <c r="AF20" s="20">
        <v>19526595.46626173</v>
      </c>
    </row>
    <row r="21" spans="1:32" ht="15.75">
      <c r="A21" s="10">
        <v>16</v>
      </c>
      <c r="B21" s="23">
        <f>'RUGI LABA TK HUNIAN'!V10</f>
        <v>360935221.18783236</v>
      </c>
      <c r="C21" s="23">
        <f t="shared" si="2"/>
        <v>1945140145.8403351</v>
      </c>
      <c r="D21" s="26"/>
      <c r="G21" s="3"/>
      <c r="J21" s="10">
        <v>16</v>
      </c>
      <c r="K21" s="20">
        <v>360935221.18783236</v>
      </c>
      <c r="L21" s="10">
        <v>0.1069</v>
      </c>
      <c r="M21" s="20">
        <f t="shared" si="1"/>
        <v>38583975.144979276</v>
      </c>
      <c r="N21" s="20">
        <f t="shared" si="3"/>
        <v>-116597071.17183873</v>
      </c>
      <c r="P21" s="44"/>
      <c r="S21" s="10">
        <v>16</v>
      </c>
      <c r="T21" s="20">
        <v>360935221.18783236</v>
      </c>
      <c r="U21" s="10">
        <v>0.0541</v>
      </c>
      <c r="V21" s="20">
        <f t="shared" si="0"/>
        <v>19526595.46626173</v>
      </c>
      <c r="W21" s="20">
        <f t="shared" si="4"/>
        <v>-315086203.9936348</v>
      </c>
      <c r="X21" s="44"/>
      <c r="AA21" s="10">
        <v>17</v>
      </c>
      <c r="AB21" s="20">
        <v>401560225.8280285</v>
      </c>
      <c r="AC21" s="10">
        <v>0.0929</v>
      </c>
      <c r="AD21" s="49">
        <v>37304944.97942384</v>
      </c>
      <c r="AE21" s="48">
        <v>0.0451</v>
      </c>
      <c r="AF21" s="20">
        <v>18110366.184844084</v>
      </c>
    </row>
    <row r="22" spans="1:32" ht="15.75">
      <c r="A22" s="10">
        <v>17</v>
      </c>
      <c r="B22" s="23">
        <f>'RUGI LABA TK HUNIAN'!V17</f>
        <v>401560225.8280285</v>
      </c>
      <c r="C22" s="23">
        <f t="shared" si="2"/>
        <v>2346700371.6683636</v>
      </c>
      <c r="D22" s="26"/>
      <c r="G22" s="3"/>
      <c r="J22" s="10">
        <v>17</v>
      </c>
      <c r="K22" s="20">
        <v>401560225.8280285</v>
      </c>
      <c r="L22" s="10">
        <v>0.0929</v>
      </c>
      <c r="M22" s="20">
        <f t="shared" si="1"/>
        <v>37304944.97942384</v>
      </c>
      <c r="N22" s="20">
        <f t="shared" si="3"/>
        <v>-79292126.19241488</v>
      </c>
      <c r="P22" s="44"/>
      <c r="S22" s="10">
        <v>17</v>
      </c>
      <c r="T22" s="20">
        <v>401560225.8280285</v>
      </c>
      <c r="U22" s="10">
        <v>0.0451</v>
      </c>
      <c r="V22" s="20">
        <f t="shared" si="0"/>
        <v>18110366.184844084</v>
      </c>
      <c r="W22" s="20">
        <f t="shared" si="4"/>
        <v>-296975837.80879074</v>
      </c>
      <c r="X22" s="44"/>
      <c r="AA22" s="10">
        <v>18</v>
      </c>
      <c r="AB22" s="20">
        <v>446270388.3448514</v>
      </c>
      <c r="AC22" s="10">
        <v>0.0808</v>
      </c>
      <c r="AD22" s="49">
        <v>36058647.37826399</v>
      </c>
      <c r="AE22" s="48">
        <v>0.0376</v>
      </c>
      <c r="AF22" s="20">
        <v>16779766.60176641</v>
      </c>
    </row>
    <row r="23" spans="1:32" ht="15.75">
      <c r="A23" s="10">
        <v>18</v>
      </c>
      <c r="B23" s="23">
        <f>'RUGI LABA TK HUNIAN'!V24</f>
        <v>446270388.3448514</v>
      </c>
      <c r="C23" s="23">
        <f t="shared" si="2"/>
        <v>2792970760.013215</v>
      </c>
      <c r="D23" s="26"/>
      <c r="E23" s="7" t="s">
        <v>116</v>
      </c>
      <c r="G23" s="3"/>
      <c r="J23" s="10">
        <v>18</v>
      </c>
      <c r="K23" s="20">
        <v>446270388.3448514</v>
      </c>
      <c r="L23" s="10">
        <v>0.0808</v>
      </c>
      <c r="M23" s="20">
        <f t="shared" si="1"/>
        <v>36058647.37826399</v>
      </c>
      <c r="N23" s="20">
        <f t="shared" si="3"/>
        <v>-43233478.81415089</v>
      </c>
      <c r="P23" s="44"/>
      <c r="S23" s="10">
        <v>18</v>
      </c>
      <c r="T23" s="20">
        <v>446270388.3448514</v>
      </c>
      <c r="U23" s="10">
        <v>0.0376</v>
      </c>
      <c r="V23" s="20">
        <f t="shared" si="0"/>
        <v>16779766.60176641</v>
      </c>
      <c r="W23" s="20">
        <f t="shared" si="4"/>
        <v>-280196071.20702434</v>
      </c>
      <c r="X23" s="44"/>
      <c r="AA23" s="10">
        <v>19</v>
      </c>
      <c r="AB23" s="20">
        <v>495474337.81302655</v>
      </c>
      <c r="AC23" s="10">
        <v>0.0703</v>
      </c>
      <c r="AD23" s="49">
        <v>34831845.94825577</v>
      </c>
      <c r="AE23" s="48">
        <v>0.0313</v>
      </c>
      <c r="AF23" s="20">
        <v>15508346.773547731</v>
      </c>
    </row>
    <row r="24" spans="1:32" ht="16.5" thickBot="1">
      <c r="A24" s="10">
        <v>19</v>
      </c>
      <c r="B24" s="23">
        <f>'RUGI LABA TK HUNIAN'!AA10</f>
        <v>495474337.81302655</v>
      </c>
      <c r="C24" s="23">
        <f t="shared" si="2"/>
        <v>3288445097.8262415</v>
      </c>
      <c r="D24" s="26"/>
      <c r="G24" s="3"/>
      <c r="J24" s="10">
        <v>19</v>
      </c>
      <c r="K24" s="20">
        <v>495474337.81302655</v>
      </c>
      <c r="L24" s="10">
        <v>0.0703</v>
      </c>
      <c r="M24" s="20">
        <f t="shared" si="1"/>
        <v>34831845.94825577</v>
      </c>
      <c r="N24" s="20">
        <f t="shared" si="3"/>
        <v>-8401632.865895122</v>
      </c>
      <c r="P24" s="44"/>
      <c r="S24" s="10">
        <v>19</v>
      </c>
      <c r="T24" s="20">
        <v>495474337.81302655</v>
      </c>
      <c r="U24" s="10">
        <v>0.0313</v>
      </c>
      <c r="V24" s="20">
        <f t="shared" si="0"/>
        <v>15508346.773547731</v>
      </c>
      <c r="W24" s="20">
        <f t="shared" si="4"/>
        <v>-264687724.4334766</v>
      </c>
      <c r="X24" s="44"/>
      <c r="AA24" s="47">
        <v>20</v>
      </c>
      <c r="AB24" s="30">
        <f>B25</f>
        <v>549621566.7811878</v>
      </c>
      <c r="AC24" s="47">
        <v>0.0611</v>
      </c>
      <c r="AD24" s="50">
        <f>AC24*AB24</f>
        <v>33581877.73033057</v>
      </c>
      <c r="AE24" s="51">
        <v>0.0261</v>
      </c>
      <c r="AF24" s="30">
        <f>AE24*AB24</f>
        <v>14345122.892989002</v>
      </c>
    </row>
    <row r="25" spans="1:32" ht="16.5" thickBot="1">
      <c r="A25" s="10">
        <v>20</v>
      </c>
      <c r="B25" s="23">
        <f>'RUGI LABA TK HUNIAN'!AA17</f>
        <v>549621566.7811878</v>
      </c>
      <c r="C25" s="23">
        <f t="shared" si="2"/>
        <v>3838066664.6074295</v>
      </c>
      <c r="D25" s="26"/>
      <c r="G25" s="8"/>
      <c r="J25" s="10">
        <v>20</v>
      </c>
      <c r="K25" s="20">
        <f>549621566.781188+1856250000</f>
        <v>2405871566.781188</v>
      </c>
      <c r="L25" s="10">
        <v>0.0611</v>
      </c>
      <c r="M25" s="20">
        <f t="shared" si="1"/>
        <v>146998752.7303306</v>
      </c>
      <c r="N25" s="20">
        <f t="shared" si="3"/>
        <v>138597119.86443546</v>
      </c>
      <c r="P25" s="8"/>
      <c r="S25" s="10">
        <v>20</v>
      </c>
      <c r="T25" s="20">
        <v>2405871566.781188</v>
      </c>
      <c r="U25" s="10">
        <v>0.0261</v>
      </c>
      <c r="V25" s="20">
        <f t="shared" si="0"/>
        <v>62793247.89298901</v>
      </c>
      <c r="W25" s="20">
        <f>W24+V25</f>
        <v>-201894476.5404876</v>
      </c>
      <c r="X25" s="26"/>
      <c r="AB25" s="68" t="s">
        <v>130</v>
      </c>
      <c r="AC25" s="68"/>
      <c r="AD25" s="46">
        <f>SUM(AD5:AD24)</f>
        <v>863312478.8644352</v>
      </c>
      <c r="AF25" s="45">
        <f>SUM(AF5:AF24)</f>
        <v>587789632.4595125</v>
      </c>
    </row>
    <row r="26" spans="7:35" ht="15.75">
      <c r="G26" s="8"/>
      <c r="X26" s="26"/>
      <c r="Z26" s="8"/>
      <c r="AG26" s="31"/>
      <c r="AI26" s="8"/>
    </row>
    <row r="27" spans="10:29" ht="15.75">
      <c r="J27" s="7" t="s">
        <v>120</v>
      </c>
      <c r="S27" s="7" t="s">
        <v>125</v>
      </c>
      <c r="T27" s="7"/>
      <c r="AC27" s="7"/>
    </row>
    <row r="28" spans="19:33" ht="15.75">
      <c r="S28" s="7" t="s">
        <v>131</v>
      </c>
      <c r="AC28" s="7"/>
      <c r="AG28" s="31"/>
    </row>
    <row r="29" spans="1:9" ht="15.75">
      <c r="A29" s="66" t="s">
        <v>75</v>
      </c>
      <c r="B29" s="66"/>
      <c r="C29" s="66"/>
      <c r="D29" s="66"/>
      <c r="E29" s="66"/>
      <c r="F29" s="66"/>
      <c r="G29" s="66"/>
      <c r="H29" s="66"/>
      <c r="I29" s="66"/>
    </row>
    <row r="30" spans="1:19" ht="15.75">
      <c r="A30" s="7" t="s">
        <v>30</v>
      </c>
      <c r="J30" s="7" t="s">
        <v>58</v>
      </c>
      <c r="S30" s="7" t="s">
        <v>126</v>
      </c>
    </row>
    <row r="31" ht="15.75">
      <c r="E31" s="22"/>
    </row>
    <row r="32" spans="1:23" ht="15.75">
      <c r="A32" s="10" t="s">
        <v>52</v>
      </c>
      <c r="B32" s="10" t="s">
        <v>51</v>
      </c>
      <c r="C32" s="10" t="s">
        <v>54</v>
      </c>
      <c r="D32" s="25"/>
      <c r="J32" s="10" t="s">
        <v>52</v>
      </c>
      <c r="K32" s="10" t="s">
        <v>51</v>
      </c>
      <c r="L32" s="10" t="s">
        <v>57</v>
      </c>
      <c r="M32" s="10" t="s">
        <v>53</v>
      </c>
      <c r="N32" s="10" t="s">
        <v>54</v>
      </c>
      <c r="S32" s="10" t="s">
        <v>52</v>
      </c>
      <c r="T32" s="10" t="s">
        <v>51</v>
      </c>
      <c r="U32" s="10" t="s">
        <v>124</v>
      </c>
      <c r="V32" s="10" t="s">
        <v>53</v>
      </c>
      <c r="W32" s="10" t="s">
        <v>54</v>
      </c>
    </row>
    <row r="33" spans="1:23" ht="15.75">
      <c r="A33" s="10">
        <v>0</v>
      </c>
      <c r="B33" s="23">
        <f>B5</f>
        <v>-838132234</v>
      </c>
      <c r="C33" s="23">
        <f>B33</f>
        <v>-838132234</v>
      </c>
      <c r="D33" s="26"/>
      <c r="J33" s="10">
        <v>0</v>
      </c>
      <c r="K33" s="20">
        <v>-838132234</v>
      </c>
      <c r="L33" s="10">
        <v>1</v>
      </c>
      <c r="M33" s="20">
        <f>L33*K33</f>
        <v>-838132234</v>
      </c>
      <c r="N33" s="20">
        <f>M33</f>
        <v>-838132234</v>
      </c>
      <c r="S33" s="10">
        <v>0</v>
      </c>
      <c r="T33" s="20">
        <v>-838132234</v>
      </c>
      <c r="U33" s="10">
        <v>1</v>
      </c>
      <c r="V33" s="20">
        <f>U33*T33</f>
        <v>-838132234</v>
      </c>
      <c r="W33" s="20">
        <f>V33</f>
        <v>-838132234</v>
      </c>
    </row>
    <row r="34" spans="1:25" ht="15.75">
      <c r="A34" s="10">
        <v>1</v>
      </c>
      <c r="B34" s="20">
        <f>'RUGI LABA TK HUNIAN'!B38</f>
        <v>49098094.8</v>
      </c>
      <c r="C34" s="23">
        <f>C33+B34</f>
        <v>-789034139.2</v>
      </c>
      <c r="D34" s="26"/>
      <c r="G34" s="3"/>
      <c r="J34" s="10">
        <v>1</v>
      </c>
      <c r="K34" s="20">
        <v>49098094.8</v>
      </c>
      <c r="L34" s="10">
        <v>0.8696</v>
      </c>
      <c r="M34" s="20">
        <f aca="true" t="shared" si="5" ref="M34:M53">L34*K34</f>
        <v>42695703.23808</v>
      </c>
      <c r="N34" s="20">
        <f>N33+M34</f>
        <v>-795436530.76192</v>
      </c>
      <c r="P34" s="3"/>
      <c r="S34" s="10">
        <v>1</v>
      </c>
      <c r="T34" s="20">
        <v>49098094.8</v>
      </c>
      <c r="U34" s="10">
        <v>0.8333</v>
      </c>
      <c r="V34" s="20">
        <f aca="true" t="shared" si="6" ref="V34:V53">U34*T34</f>
        <v>40913442.39684</v>
      </c>
      <c r="W34" s="20">
        <f>W33+V34</f>
        <v>-797218791.60316</v>
      </c>
      <c r="Y34" s="3"/>
    </row>
    <row r="35" spans="1:25" ht="15.75">
      <c r="A35" s="10">
        <v>2</v>
      </c>
      <c r="B35" s="20">
        <f>'RUGI LABA TK HUNIAN'!B45</f>
        <v>56246769.54000001</v>
      </c>
      <c r="C35" s="23">
        <f aca="true" t="shared" si="7" ref="C35:C53">C34+B35</f>
        <v>-732787369.6600001</v>
      </c>
      <c r="D35" s="26"/>
      <c r="G35" s="3">
        <v>9091424</v>
      </c>
      <c r="J35" s="10">
        <v>2</v>
      </c>
      <c r="K35" s="20">
        <v>56246769.54000001</v>
      </c>
      <c r="L35" s="10">
        <v>0.7561</v>
      </c>
      <c r="M35" s="20">
        <f t="shared" si="5"/>
        <v>42528182.44919401</v>
      </c>
      <c r="N35" s="20">
        <f aca="true" t="shared" si="8" ref="N35:N53">N34+M35</f>
        <v>-752908348.312726</v>
      </c>
      <c r="P35" s="3"/>
      <c r="S35" s="10">
        <v>2</v>
      </c>
      <c r="T35" s="20">
        <v>56246769.54000001</v>
      </c>
      <c r="U35" s="10">
        <v>0.6944</v>
      </c>
      <c r="V35" s="20">
        <f t="shared" si="6"/>
        <v>39057756.768576</v>
      </c>
      <c r="W35" s="20">
        <f aca="true" t="shared" si="9" ref="W35:W53">W34+V35</f>
        <v>-758161034.834584</v>
      </c>
      <c r="Y35" s="3"/>
    </row>
    <row r="36" spans="1:25" ht="15.75">
      <c r="A36" s="10">
        <v>3</v>
      </c>
      <c r="B36" s="20">
        <f>'RUGI LABA TK HUNIAN'!B52</f>
        <v>66337982.6877</v>
      </c>
      <c r="C36" s="23">
        <f t="shared" si="7"/>
        <v>-666449386.9723</v>
      </c>
      <c r="D36" s="26"/>
      <c r="G36" s="3"/>
      <c r="J36" s="10">
        <v>3</v>
      </c>
      <c r="K36" s="20">
        <v>66337982.6877</v>
      </c>
      <c r="L36" s="10">
        <v>0.6575</v>
      </c>
      <c r="M36" s="20">
        <f t="shared" si="5"/>
        <v>43617223.61716275</v>
      </c>
      <c r="N36" s="20">
        <f t="shared" si="8"/>
        <v>-709291124.6955633</v>
      </c>
      <c r="P36" s="3"/>
      <c r="S36" s="10">
        <v>3</v>
      </c>
      <c r="T36" s="20">
        <v>66337982.6877</v>
      </c>
      <c r="U36" s="10">
        <v>0.5787</v>
      </c>
      <c r="V36" s="20">
        <f t="shared" si="6"/>
        <v>38389790.58137199</v>
      </c>
      <c r="W36" s="20">
        <f t="shared" si="9"/>
        <v>-719771244.253212</v>
      </c>
      <c r="Y36" s="3"/>
    </row>
    <row r="37" spans="1:25" ht="15.75">
      <c r="A37" s="10">
        <v>4</v>
      </c>
      <c r="B37" s="20">
        <f>'RUGI LABA TK HUNIAN'!E38</f>
        <v>77460649.8311385</v>
      </c>
      <c r="C37" s="23">
        <f t="shared" si="7"/>
        <v>-588988737.1411616</v>
      </c>
      <c r="D37" s="26"/>
      <c r="G37" s="3"/>
      <c r="J37" s="10">
        <v>4</v>
      </c>
      <c r="K37" s="20">
        <v>77460649.8311385</v>
      </c>
      <c r="L37" s="10">
        <v>0.5718</v>
      </c>
      <c r="M37" s="20">
        <f t="shared" si="5"/>
        <v>44291999.573445</v>
      </c>
      <c r="N37" s="20">
        <f t="shared" si="8"/>
        <v>-664999125.1221184</v>
      </c>
      <c r="P37" s="3"/>
      <c r="S37" s="10">
        <v>4</v>
      </c>
      <c r="T37" s="20">
        <v>77460649.8311385</v>
      </c>
      <c r="U37" s="10">
        <v>0.4823</v>
      </c>
      <c r="V37" s="20">
        <f t="shared" si="6"/>
        <v>37359271.4135581</v>
      </c>
      <c r="W37" s="20">
        <f t="shared" si="9"/>
        <v>-682411972.8396538</v>
      </c>
      <c r="Y37" s="3"/>
    </row>
    <row r="38" spans="1:25" ht="15.75">
      <c r="A38" s="10">
        <v>5</v>
      </c>
      <c r="B38" s="20">
        <f>'RUGI LABA TK HUNIAN'!E45</f>
        <v>89718028.03329419</v>
      </c>
      <c r="C38" s="23">
        <f t="shared" si="7"/>
        <v>-499270709.10786736</v>
      </c>
      <c r="D38" s="26"/>
      <c r="G38" s="3"/>
      <c r="J38" s="10">
        <v>5</v>
      </c>
      <c r="K38" s="20">
        <v>89718028.03329419</v>
      </c>
      <c r="L38" s="10">
        <v>0.4972</v>
      </c>
      <c r="M38" s="20">
        <f t="shared" si="5"/>
        <v>44607803.538153864</v>
      </c>
      <c r="N38" s="20">
        <f t="shared" si="8"/>
        <v>-620391321.5839645</v>
      </c>
      <c r="P38" s="3"/>
      <c r="S38" s="10">
        <v>5</v>
      </c>
      <c r="T38" s="20">
        <v>89718028.03329419</v>
      </c>
      <c r="U38" s="10">
        <v>0.4019</v>
      </c>
      <c r="V38" s="20">
        <f t="shared" si="6"/>
        <v>36057675.466580935</v>
      </c>
      <c r="W38" s="20">
        <f t="shared" si="9"/>
        <v>-646354297.3730729</v>
      </c>
      <c r="Y38" s="3"/>
    </row>
    <row r="39" spans="1:25" ht="15.75">
      <c r="A39" s="10">
        <v>6</v>
      </c>
      <c r="B39" s="20">
        <f>'RUGI LABA TK HUNIAN'!E52</f>
        <v>103223700.62176068</v>
      </c>
      <c r="C39" s="23">
        <f t="shared" si="7"/>
        <v>-396047008.4861067</v>
      </c>
      <c r="D39" s="26"/>
      <c r="G39" s="3"/>
      <c r="J39" s="10">
        <v>6</v>
      </c>
      <c r="K39" s="20">
        <v>103223700.62176068</v>
      </c>
      <c r="L39" s="10">
        <v>0.4323</v>
      </c>
      <c r="M39" s="20">
        <f t="shared" si="5"/>
        <v>44623605.77878714</v>
      </c>
      <c r="N39" s="20">
        <f t="shared" si="8"/>
        <v>-575767715.8051773</v>
      </c>
      <c r="P39" s="3"/>
      <c r="S39" s="10">
        <v>6</v>
      </c>
      <c r="T39" s="20">
        <v>103223700.62176068</v>
      </c>
      <c r="U39" s="10">
        <v>0.3349</v>
      </c>
      <c r="V39" s="20">
        <f t="shared" si="6"/>
        <v>34569617.33822765</v>
      </c>
      <c r="W39" s="20">
        <f t="shared" si="9"/>
        <v>-611784680.0348452</v>
      </c>
      <c r="Y39" s="3"/>
    </row>
    <row r="40" spans="1:25" ht="15.75">
      <c r="A40" s="10">
        <v>7</v>
      </c>
      <c r="B40" s="20">
        <f>'RUGI LABA TK HUNIAN'!K38</f>
        <v>118102609.8179995</v>
      </c>
      <c r="C40" s="23">
        <f t="shared" si="7"/>
        <v>-277944398.6681072</v>
      </c>
      <c r="D40" s="26"/>
      <c r="G40" s="3"/>
      <c r="J40" s="10">
        <v>7</v>
      </c>
      <c r="K40" s="20">
        <v>118102609.8179995</v>
      </c>
      <c r="L40" s="10">
        <v>0.3759</v>
      </c>
      <c r="M40" s="20">
        <f t="shared" si="5"/>
        <v>44394771.03058601</v>
      </c>
      <c r="N40" s="20">
        <f t="shared" si="8"/>
        <v>-531372944.7745913</v>
      </c>
      <c r="P40" s="3"/>
      <c r="S40" s="10">
        <v>7</v>
      </c>
      <c r="T40" s="20">
        <v>118102609.8179995</v>
      </c>
      <c r="U40" s="10">
        <v>0.2791</v>
      </c>
      <c r="V40" s="20">
        <f t="shared" si="6"/>
        <v>32962438.40020366</v>
      </c>
      <c r="W40" s="20">
        <f t="shared" si="9"/>
        <v>-578822241.6346415</v>
      </c>
      <c r="Y40" s="3"/>
    </row>
    <row r="41" spans="1:25" ht="15.75">
      <c r="A41" s="10">
        <v>8</v>
      </c>
      <c r="B41" s="20">
        <f>'RUGI LABA TK HUNIAN'!K45</f>
        <v>134492192.62953246</v>
      </c>
      <c r="C41" s="23">
        <f t="shared" si="7"/>
        <v>-143452206.03857476</v>
      </c>
      <c r="D41" s="26"/>
      <c r="E41" s="24">
        <v>143452206</v>
      </c>
      <c r="G41" s="3"/>
      <c r="J41" s="10">
        <v>8</v>
      </c>
      <c r="K41" s="20">
        <v>134492192.62953246</v>
      </c>
      <c r="L41" s="10">
        <v>0.3269</v>
      </c>
      <c r="M41" s="20">
        <f t="shared" si="5"/>
        <v>43965497.770594165</v>
      </c>
      <c r="N41" s="20">
        <f t="shared" si="8"/>
        <v>-487407447.00399715</v>
      </c>
      <c r="P41" s="3"/>
      <c r="S41" s="10">
        <v>8</v>
      </c>
      <c r="T41" s="20">
        <v>134492192.62953246</v>
      </c>
      <c r="U41" s="10">
        <v>0.2326</v>
      </c>
      <c r="V41" s="20">
        <f t="shared" si="6"/>
        <v>31282884.00562925</v>
      </c>
      <c r="W41" s="20">
        <f t="shared" si="9"/>
        <v>-547539357.6290122</v>
      </c>
      <c r="Y41" s="3"/>
    </row>
    <row r="42" spans="1:25" ht="15.75">
      <c r="A42" s="10">
        <v>9</v>
      </c>
      <c r="B42" s="20">
        <f>'RUGI LABA TK HUNIAN'!K52</f>
        <v>152543630.33136743</v>
      </c>
      <c r="C42" s="23">
        <f t="shared" si="7"/>
        <v>9091424.292792678</v>
      </c>
      <c r="D42" s="26"/>
      <c r="G42" s="3"/>
      <c r="J42" s="10">
        <v>9</v>
      </c>
      <c r="K42" s="20">
        <v>152543630.33136743</v>
      </c>
      <c r="L42" s="10">
        <v>0.2843</v>
      </c>
      <c r="M42" s="20">
        <f t="shared" si="5"/>
        <v>43368154.10320776</v>
      </c>
      <c r="N42" s="20">
        <f t="shared" si="8"/>
        <v>-444039292.9007894</v>
      </c>
      <c r="P42" s="3"/>
      <c r="S42" s="10">
        <v>9</v>
      </c>
      <c r="T42" s="20">
        <v>152543630.33136743</v>
      </c>
      <c r="U42" s="10">
        <v>0.1938</v>
      </c>
      <c r="V42" s="20">
        <f t="shared" si="6"/>
        <v>29562955.55821901</v>
      </c>
      <c r="W42" s="20">
        <f t="shared" si="9"/>
        <v>-517976402.0707932</v>
      </c>
      <c r="Y42" s="3"/>
    </row>
    <row r="43" spans="1:25" ht="15.75">
      <c r="A43" s="10">
        <v>10</v>
      </c>
      <c r="B43" s="20">
        <f>'RUGI LABA TK HUNIAN'!N38</f>
        <v>172423222.8955803</v>
      </c>
      <c r="C43" s="23">
        <f t="shared" si="7"/>
        <v>181514647.18837297</v>
      </c>
      <c r="D43" s="26"/>
      <c r="G43" s="3"/>
      <c r="J43" s="10">
        <v>10</v>
      </c>
      <c r="K43" s="20">
        <v>172423222.8955803</v>
      </c>
      <c r="L43" s="10">
        <v>0.2149</v>
      </c>
      <c r="M43" s="20">
        <f t="shared" si="5"/>
        <v>37053750.600260206</v>
      </c>
      <c r="N43" s="20">
        <f t="shared" si="8"/>
        <v>-406985542.3005292</v>
      </c>
      <c r="P43" s="3"/>
      <c r="S43" s="10">
        <v>10</v>
      </c>
      <c r="T43" s="20">
        <v>172423222.8955803</v>
      </c>
      <c r="U43" s="10">
        <v>0.1615</v>
      </c>
      <c r="V43" s="20">
        <f t="shared" si="6"/>
        <v>27846350.497636218</v>
      </c>
      <c r="W43" s="20">
        <f t="shared" si="9"/>
        <v>-490130051.573157</v>
      </c>
      <c r="Y43" s="3"/>
    </row>
    <row r="44" spans="1:25" ht="15.75">
      <c r="A44" s="10">
        <v>11</v>
      </c>
      <c r="B44" s="20">
        <f>'RUGI LABA TK HUNIAN'!N45</f>
        <v>194313900.86386985</v>
      </c>
      <c r="C44" s="23">
        <f t="shared" si="7"/>
        <v>375828548.0522428</v>
      </c>
      <c r="D44" s="26"/>
      <c r="E44" s="7" t="s">
        <v>55</v>
      </c>
      <c r="G44" s="3"/>
      <c r="J44" s="10">
        <v>11</v>
      </c>
      <c r="K44" s="20">
        <v>194313900.86386985</v>
      </c>
      <c r="L44" s="10">
        <v>0.2149</v>
      </c>
      <c r="M44" s="20">
        <f t="shared" si="5"/>
        <v>41758057.29564563</v>
      </c>
      <c r="N44" s="20">
        <f t="shared" si="8"/>
        <v>-365227485.0048835</v>
      </c>
      <c r="P44" s="3"/>
      <c r="S44" s="10">
        <v>11</v>
      </c>
      <c r="T44" s="20">
        <v>194313900.86386985</v>
      </c>
      <c r="U44" s="10">
        <v>0.1346</v>
      </c>
      <c r="V44" s="20">
        <f t="shared" si="6"/>
        <v>26154651.05627688</v>
      </c>
      <c r="W44" s="20">
        <f t="shared" si="9"/>
        <v>-463975400.51688015</v>
      </c>
      <c r="Y44" s="3"/>
    </row>
    <row r="45" spans="1:25" ht="15.75">
      <c r="A45" s="10">
        <v>12</v>
      </c>
      <c r="B45" s="20">
        <f>'RUGI LABA TK HUNIAN'!N52</f>
        <v>218416888.407382</v>
      </c>
      <c r="C45" s="23">
        <f t="shared" si="7"/>
        <v>594245436.4596248</v>
      </c>
      <c r="D45" s="26"/>
      <c r="G45" s="3"/>
      <c r="J45" s="10">
        <v>12</v>
      </c>
      <c r="K45" s="20">
        <v>218416888.407382</v>
      </c>
      <c r="L45" s="10">
        <v>0.1869</v>
      </c>
      <c r="M45" s="20">
        <f t="shared" si="5"/>
        <v>40822116.4433397</v>
      </c>
      <c r="N45" s="20">
        <f t="shared" si="8"/>
        <v>-324405368.5615438</v>
      </c>
      <c r="P45" s="3"/>
      <c r="S45" s="10">
        <v>12</v>
      </c>
      <c r="T45" s="20">
        <v>218416888.407382</v>
      </c>
      <c r="U45" s="10">
        <v>0.1122</v>
      </c>
      <c r="V45" s="20">
        <f t="shared" si="6"/>
        <v>24506374.87930826</v>
      </c>
      <c r="W45" s="20">
        <f t="shared" si="9"/>
        <v>-439469025.6375719</v>
      </c>
      <c r="Y45" s="3"/>
    </row>
    <row r="46" spans="1:25" ht="15.75">
      <c r="A46" s="10">
        <v>13</v>
      </c>
      <c r="B46" s="20">
        <f>'RUGI LABA TK HUNIAN'!S38</f>
        <v>244953532.692531</v>
      </c>
      <c r="C46" s="23">
        <f t="shared" si="7"/>
        <v>839198969.1521558</v>
      </c>
      <c r="D46" s="26"/>
      <c r="G46" s="3"/>
      <c r="J46" s="10">
        <v>13</v>
      </c>
      <c r="K46" s="20">
        <v>244953532.692531</v>
      </c>
      <c r="L46" s="10">
        <v>0.1625</v>
      </c>
      <c r="M46" s="20">
        <f t="shared" si="5"/>
        <v>39804949.062536284</v>
      </c>
      <c r="N46" s="20">
        <f t="shared" si="8"/>
        <v>-284600419.4990075</v>
      </c>
      <c r="P46" s="3"/>
      <c r="S46" s="10">
        <v>13</v>
      </c>
      <c r="T46" s="20">
        <v>244953532.692531</v>
      </c>
      <c r="U46" s="10">
        <v>0.0935</v>
      </c>
      <c r="V46" s="20">
        <f t="shared" si="6"/>
        <v>22903155.306751646</v>
      </c>
      <c r="W46" s="20">
        <f t="shared" si="9"/>
        <v>-416565870.3308202</v>
      </c>
      <c r="Y46" s="3"/>
    </row>
    <row r="47" spans="1:25" ht="15.75">
      <c r="A47" s="10">
        <v>14</v>
      </c>
      <c r="B47" s="20">
        <f>'RUGI LABA TK HUNIAN'!S45</f>
        <v>274167316.18341696</v>
      </c>
      <c r="C47" s="23">
        <f t="shared" si="7"/>
        <v>1113366285.3355727</v>
      </c>
      <c r="D47" s="26"/>
      <c r="G47" s="3"/>
      <c r="J47" s="10">
        <v>14</v>
      </c>
      <c r="K47" s="20">
        <v>274167316.18341696</v>
      </c>
      <c r="L47" s="10">
        <v>0.1413</v>
      </c>
      <c r="M47" s="20">
        <f t="shared" si="5"/>
        <v>38739841.77671682</v>
      </c>
      <c r="N47" s="20">
        <f t="shared" si="8"/>
        <v>-245860577.7222907</v>
      </c>
      <c r="P47" s="3"/>
      <c r="S47" s="10">
        <v>14</v>
      </c>
      <c r="T47" s="20">
        <v>274167316.18341696</v>
      </c>
      <c r="U47" s="10">
        <v>0.0779</v>
      </c>
      <c r="V47" s="20">
        <f t="shared" si="6"/>
        <v>21357633.93068818</v>
      </c>
      <c r="W47" s="20">
        <f t="shared" si="9"/>
        <v>-395208236.400132</v>
      </c>
      <c r="Y47" s="3"/>
    </row>
    <row r="48" spans="1:25" ht="15.75">
      <c r="A48" s="10">
        <v>15</v>
      </c>
      <c r="B48" s="20">
        <f>'RUGI LABA TK HUNIAN'!S52</f>
        <v>306326070.1744997</v>
      </c>
      <c r="C48" s="23">
        <f t="shared" si="7"/>
        <v>1419692355.5100725</v>
      </c>
      <c r="D48" s="26"/>
      <c r="G48" s="3"/>
      <c r="J48" s="10">
        <v>15</v>
      </c>
      <c r="K48" s="20">
        <v>306326070.1744997</v>
      </c>
      <c r="L48" s="10">
        <v>0.1229</v>
      </c>
      <c r="M48" s="20">
        <f t="shared" si="5"/>
        <v>37647474.02444601</v>
      </c>
      <c r="N48" s="20">
        <f t="shared" si="8"/>
        <v>-208213103.69784468</v>
      </c>
      <c r="P48" s="3"/>
      <c r="S48" s="10">
        <v>15</v>
      </c>
      <c r="T48" s="20">
        <v>306326070.1744997</v>
      </c>
      <c r="U48" s="10">
        <v>0.0649</v>
      </c>
      <c r="V48" s="20">
        <f t="shared" si="6"/>
        <v>19880561.95432503</v>
      </c>
      <c r="W48" s="20">
        <f t="shared" si="9"/>
        <v>-375327674.445807</v>
      </c>
      <c r="Y48" s="3"/>
    </row>
    <row r="49" spans="1:25" ht="15.75">
      <c r="A49" s="10">
        <v>16</v>
      </c>
      <c r="B49" s="20">
        <f>'RUGI LABA TK HUNIAN'!V38</f>
        <v>341724409.6765544</v>
      </c>
      <c r="C49" s="23">
        <f t="shared" si="7"/>
        <v>1761416765.186627</v>
      </c>
      <c r="D49" s="26"/>
      <c r="G49" s="3"/>
      <c r="J49" s="10">
        <v>16</v>
      </c>
      <c r="K49" s="20">
        <v>341724409.6765544</v>
      </c>
      <c r="L49" s="10">
        <v>0.1069</v>
      </c>
      <c r="M49" s="20">
        <f t="shared" si="5"/>
        <v>36530339.39442366</v>
      </c>
      <c r="N49" s="20">
        <f t="shared" si="8"/>
        <v>-171682764.30342102</v>
      </c>
      <c r="P49" s="3"/>
      <c r="S49" s="10">
        <v>16</v>
      </c>
      <c r="T49" s="20">
        <v>341724409.6765544</v>
      </c>
      <c r="U49" s="10">
        <v>0.0541</v>
      </c>
      <c r="V49" s="20">
        <f t="shared" si="6"/>
        <v>18487290.563501593</v>
      </c>
      <c r="W49" s="20">
        <f t="shared" si="9"/>
        <v>-356840383.8823054</v>
      </c>
      <c r="Y49" s="3"/>
    </row>
    <row r="50" spans="1:25" ht="15.75">
      <c r="A50" s="10">
        <v>17</v>
      </c>
      <c r="B50" s="20">
        <f>'RUGI LABA TK HUNIAN'!V45</f>
        <v>380686411.79123753</v>
      </c>
      <c r="C50" s="23">
        <f t="shared" si="7"/>
        <v>2142103176.9778645</v>
      </c>
      <c r="D50" s="26"/>
      <c r="G50" s="3"/>
      <c r="J50" s="10">
        <v>17</v>
      </c>
      <c r="K50" s="20">
        <v>380686411.79123753</v>
      </c>
      <c r="L50" s="10">
        <v>0.0929</v>
      </c>
      <c r="M50" s="20">
        <f t="shared" si="5"/>
        <v>35365767.65540597</v>
      </c>
      <c r="N50" s="20">
        <f t="shared" si="8"/>
        <v>-136316996.64801505</v>
      </c>
      <c r="P50" s="3"/>
      <c r="S50" s="10">
        <v>17</v>
      </c>
      <c r="T50" s="20">
        <v>380686411.79123753</v>
      </c>
      <c r="U50" s="10">
        <v>0.0451</v>
      </c>
      <c r="V50" s="20">
        <f t="shared" si="6"/>
        <v>17168957.171784814</v>
      </c>
      <c r="W50" s="20">
        <f t="shared" si="9"/>
        <v>-339671426.71052057</v>
      </c>
      <c r="Y50" s="3"/>
    </row>
    <row r="51" spans="1:25" ht="15.75">
      <c r="A51" s="10">
        <v>18</v>
      </c>
      <c r="B51" s="20">
        <f>'RUGI LABA TK HUNIAN'!V52</f>
        <v>423568561.92312413</v>
      </c>
      <c r="C51" s="23">
        <f t="shared" si="7"/>
        <v>2565671738.9009886</v>
      </c>
      <c r="D51" s="26"/>
      <c r="E51" s="7" t="s">
        <v>117</v>
      </c>
      <c r="G51" s="3"/>
      <c r="J51" s="10">
        <v>18</v>
      </c>
      <c r="K51" s="20">
        <v>423568561.92312413</v>
      </c>
      <c r="L51" s="10">
        <v>0.0808</v>
      </c>
      <c r="M51" s="20">
        <f t="shared" si="5"/>
        <v>34224339.80338843</v>
      </c>
      <c r="N51" s="20">
        <f t="shared" si="8"/>
        <v>-102092656.84462662</v>
      </c>
      <c r="P51" s="3"/>
      <c r="S51" s="10">
        <v>18</v>
      </c>
      <c r="T51" s="20">
        <v>423568561.92312413</v>
      </c>
      <c r="U51" s="10">
        <v>0.0376</v>
      </c>
      <c r="V51" s="20">
        <f t="shared" si="6"/>
        <v>15926177.928309469</v>
      </c>
      <c r="W51" s="20">
        <f t="shared" si="9"/>
        <v>-323745248.7822111</v>
      </c>
      <c r="Y51" s="3"/>
    </row>
    <row r="52" spans="1:25" ht="15.75">
      <c r="A52" s="10">
        <v>19</v>
      </c>
      <c r="B52" s="20">
        <f>'RUGI LABA TK HUNIAN'!AA38</f>
        <v>470762994.6129633</v>
      </c>
      <c r="C52" s="23">
        <f t="shared" si="7"/>
        <v>3036434733.513952</v>
      </c>
      <c r="D52" s="26"/>
      <c r="G52" s="3"/>
      <c r="J52" s="10">
        <v>19</v>
      </c>
      <c r="K52" s="20">
        <v>470762994.6129633</v>
      </c>
      <c r="L52" s="10">
        <v>0.0703</v>
      </c>
      <c r="M52" s="20">
        <f t="shared" si="5"/>
        <v>33094638.521291323</v>
      </c>
      <c r="N52" s="20">
        <f t="shared" si="8"/>
        <v>-68998018.32333529</v>
      </c>
      <c r="P52" s="3"/>
      <c r="S52" s="10">
        <v>19</v>
      </c>
      <c r="T52" s="20">
        <v>470762994.6129633</v>
      </c>
      <c r="U52" s="10">
        <v>0.0313</v>
      </c>
      <c r="V52" s="20">
        <f t="shared" si="6"/>
        <v>14734881.731385753</v>
      </c>
      <c r="W52" s="20">
        <f t="shared" si="9"/>
        <v>-309010367.05082536</v>
      </c>
      <c r="Y52" s="3"/>
    </row>
    <row r="53" spans="1:25" ht="15.75">
      <c r="A53" s="10">
        <v>20</v>
      </c>
      <c r="B53" s="20">
        <f>'RUGI LABA TK HUNIAN'!AA45</f>
        <v>522701058.45427394</v>
      </c>
      <c r="C53" s="23">
        <f t="shared" si="7"/>
        <v>3559135791.9682255</v>
      </c>
      <c r="D53" s="26"/>
      <c r="G53" s="8"/>
      <c r="J53" s="10">
        <v>20</v>
      </c>
      <c r="K53" s="20">
        <f>522701058.454274+1856250000</f>
        <v>2378951058.454274</v>
      </c>
      <c r="L53" s="10">
        <v>0.0611</v>
      </c>
      <c r="M53" s="20">
        <f t="shared" si="5"/>
        <v>145353909.67155614</v>
      </c>
      <c r="N53" s="20">
        <f t="shared" si="8"/>
        <v>76355891.34822085</v>
      </c>
      <c r="P53" s="8"/>
      <c r="S53" s="10">
        <v>20</v>
      </c>
      <c r="T53" s="20">
        <v>2378951058.454274</v>
      </c>
      <c r="U53" s="10">
        <v>0.0261</v>
      </c>
      <c r="V53" s="20">
        <f t="shared" si="6"/>
        <v>62090622.62565656</v>
      </c>
      <c r="W53" s="20">
        <f t="shared" si="9"/>
        <v>-246919744.4251688</v>
      </c>
      <c r="Y53" s="8"/>
    </row>
    <row r="54" spans="7:25" ht="15.75">
      <c r="G54" s="8"/>
      <c r="P54" s="8"/>
      <c r="Y54" s="8"/>
    </row>
    <row r="55" spans="10:22" ht="15.75">
      <c r="J55" s="7" t="s">
        <v>121</v>
      </c>
      <c r="S55" s="7" t="s">
        <v>127</v>
      </c>
      <c r="V55" s="31"/>
    </row>
    <row r="56" spans="19:21" ht="15.75">
      <c r="S56" s="7" t="s">
        <v>132</v>
      </c>
      <c r="U56" s="31"/>
    </row>
    <row r="57" spans="1:9" ht="15.75">
      <c r="A57" s="66" t="s">
        <v>76</v>
      </c>
      <c r="B57" s="66"/>
      <c r="C57" s="66"/>
      <c r="D57" s="66"/>
      <c r="E57" s="66"/>
      <c r="F57" s="66"/>
      <c r="G57" s="66"/>
      <c r="H57" s="66"/>
      <c r="I57" s="66"/>
    </row>
    <row r="58" spans="1:19" ht="15.75">
      <c r="A58" s="7" t="s">
        <v>30</v>
      </c>
      <c r="J58" s="7" t="s">
        <v>58</v>
      </c>
      <c r="S58" s="7" t="s">
        <v>126</v>
      </c>
    </row>
    <row r="59" ht="15.75">
      <c r="E59" s="22"/>
    </row>
    <row r="60" spans="1:23" ht="15.75">
      <c r="A60" s="10" t="s">
        <v>52</v>
      </c>
      <c r="B60" s="10" t="s">
        <v>51</v>
      </c>
      <c r="C60" s="10" t="s">
        <v>54</v>
      </c>
      <c r="D60" s="25"/>
      <c r="J60" s="10" t="s">
        <v>52</v>
      </c>
      <c r="K60" s="10" t="s">
        <v>51</v>
      </c>
      <c r="L60" s="10" t="s">
        <v>57</v>
      </c>
      <c r="M60" s="10" t="s">
        <v>53</v>
      </c>
      <c r="N60" s="10" t="s">
        <v>54</v>
      </c>
      <c r="S60" s="10" t="s">
        <v>52</v>
      </c>
      <c r="T60" s="10" t="s">
        <v>51</v>
      </c>
      <c r="U60" s="10" t="s">
        <v>124</v>
      </c>
      <c r="V60" s="10" t="s">
        <v>53</v>
      </c>
      <c r="W60" s="10" t="s">
        <v>54</v>
      </c>
    </row>
    <row r="61" spans="1:23" ht="15.75">
      <c r="A61" s="10">
        <v>0</v>
      </c>
      <c r="B61" s="23">
        <f>B33</f>
        <v>-838132234</v>
      </c>
      <c r="C61" s="23">
        <f>B61</f>
        <v>-838132234</v>
      </c>
      <c r="D61" s="26"/>
      <c r="J61" s="10">
        <v>0</v>
      </c>
      <c r="K61" s="20">
        <v>-838132234</v>
      </c>
      <c r="L61" s="10">
        <v>1</v>
      </c>
      <c r="M61" s="20">
        <f>L61*K61</f>
        <v>-838132234</v>
      </c>
      <c r="N61" s="20">
        <f>M61</f>
        <v>-838132234</v>
      </c>
      <c r="S61" s="10">
        <v>0</v>
      </c>
      <c r="T61" s="20">
        <v>-838132234</v>
      </c>
      <c r="U61" s="10">
        <v>1</v>
      </c>
      <c r="V61" s="20">
        <f>U61*T61</f>
        <v>-838132234</v>
      </c>
      <c r="W61" s="20">
        <f>V61</f>
        <v>-838132234</v>
      </c>
    </row>
    <row r="62" spans="1:25" ht="15.75">
      <c r="A62" s="10">
        <v>1</v>
      </c>
      <c r="B62" s="20">
        <f>'RUGI LABA TK HUNIAN'!B66</f>
        <v>39332184.8</v>
      </c>
      <c r="C62" s="23">
        <f>C61+B62</f>
        <v>-798800049.2</v>
      </c>
      <c r="D62" s="26"/>
      <c r="G62" s="3"/>
      <c r="J62" s="10">
        <v>1</v>
      </c>
      <c r="K62" s="20">
        <v>39332184.8</v>
      </c>
      <c r="L62" s="10">
        <v>0.8696</v>
      </c>
      <c r="M62" s="20">
        <f aca="true" t="shared" si="10" ref="M62:M81">L62*K62</f>
        <v>34203267.90208</v>
      </c>
      <c r="N62" s="20">
        <f>N61+M62</f>
        <v>-803928966.09792</v>
      </c>
      <c r="P62" s="3"/>
      <c r="S62" s="10">
        <v>1</v>
      </c>
      <c r="T62" s="20">
        <v>39332184.8</v>
      </c>
      <c r="U62" s="10">
        <v>0.8333</v>
      </c>
      <c r="V62" s="20">
        <f aca="true" t="shared" si="11" ref="V62:V81">U62*T62</f>
        <v>32775509.59384</v>
      </c>
      <c r="W62" s="20">
        <f>W61+V62</f>
        <v>-805356724.40616</v>
      </c>
      <c r="Y62" s="3"/>
    </row>
    <row r="63" spans="1:25" ht="15.75">
      <c r="A63" s="10">
        <v>2</v>
      </c>
      <c r="B63" s="20">
        <f>'RUGI LABA TK HUNIAN'!B73</f>
        <v>45504268.54000001</v>
      </c>
      <c r="C63" s="23">
        <f aca="true" t="shared" si="12" ref="C63:C81">C62+B63</f>
        <v>-753295780.6600001</v>
      </c>
      <c r="D63" s="26"/>
      <c r="G63" s="3">
        <v>25871193</v>
      </c>
      <c r="J63" s="10">
        <v>2</v>
      </c>
      <c r="K63" s="20">
        <v>45504268.54000001</v>
      </c>
      <c r="L63" s="10">
        <v>0.7561</v>
      </c>
      <c r="M63" s="20">
        <f t="shared" si="10"/>
        <v>34405777.44309401</v>
      </c>
      <c r="N63" s="20">
        <f aca="true" t="shared" si="13" ref="N63:N81">N62+M63</f>
        <v>-769523188.6548259</v>
      </c>
      <c r="P63" s="3"/>
      <c r="S63" s="10">
        <v>2</v>
      </c>
      <c r="T63" s="20">
        <v>45504268.54000001</v>
      </c>
      <c r="U63" s="10">
        <v>0.6944</v>
      </c>
      <c r="V63" s="20">
        <f t="shared" si="11"/>
        <v>31598164.074176006</v>
      </c>
      <c r="W63" s="20">
        <f aca="true" t="shared" si="14" ref="W63:W81">W62+V63</f>
        <v>-773758560.331984</v>
      </c>
      <c r="Y63" s="3"/>
    </row>
    <row r="64" spans="1:25" ht="15.75">
      <c r="A64" s="10">
        <v>3</v>
      </c>
      <c r="B64" s="20">
        <f>'RUGI LABA TK HUNIAN'!B80</f>
        <v>54521231.58770001</v>
      </c>
      <c r="C64" s="23">
        <f t="shared" si="12"/>
        <v>-698774549.0723001</v>
      </c>
      <c r="D64" s="26"/>
      <c r="G64" s="3"/>
      <c r="J64" s="10">
        <v>3</v>
      </c>
      <c r="K64" s="20">
        <v>54521231.58770001</v>
      </c>
      <c r="L64" s="10">
        <v>0.6575</v>
      </c>
      <c r="M64" s="20">
        <f t="shared" si="10"/>
        <v>35847709.768912755</v>
      </c>
      <c r="N64" s="20">
        <f t="shared" si="13"/>
        <v>-733675478.8859131</v>
      </c>
      <c r="P64" s="3"/>
      <c r="S64" s="10">
        <v>3</v>
      </c>
      <c r="T64" s="20">
        <v>54521231.58770001</v>
      </c>
      <c r="U64" s="10">
        <v>0.5787</v>
      </c>
      <c r="V64" s="20">
        <f t="shared" si="11"/>
        <v>31551436.719801996</v>
      </c>
      <c r="W64" s="20">
        <f t="shared" si="14"/>
        <v>-742207123.612182</v>
      </c>
      <c r="Y64" s="3"/>
    </row>
    <row r="65" spans="1:25" ht="15.75">
      <c r="A65" s="10">
        <v>4</v>
      </c>
      <c r="B65" s="20">
        <f>'RUGI LABA TK HUNIAN'!E66</f>
        <v>64462223.62113851</v>
      </c>
      <c r="C65" s="23">
        <f t="shared" si="12"/>
        <v>-634312325.4511616</v>
      </c>
      <c r="D65" s="26"/>
      <c r="G65" s="3"/>
      <c r="J65" s="10">
        <v>4</v>
      </c>
      <c r="K65" s="20">
        <v>64462223.62113851</v>
      </c>
      <c r="L65" s="10">
        <v>0.5718</v>
      </c>
      <c r="M65" s="20">
        <f t="shared" si="10"/>
        <v>36859499.466567</v>
      </c>
      <c r="N65" s="20">
        <f t="shared" si="13"/>
        <v>-696815979.4193461</v>
      </c>
      <c r="P65" s="3"/>
      <c r="S65" s="10">
        <v>4</v>
      </c>
      <c r="T65" s="20">
        <v>64462223.62113851</v>
      </c>
      <c r="U65" s="10">
        <v>0.4823</v>
      </c>
      <c r="V65" s="20">
        <f t="shared" si="11"/>
        <v>31090130.452475104</v>
      </c>
      <c r="W65" s="20">
        <f t="shared" si="14"/>
        <v>-711116993.159707</v>
      </c>
      <c r="Y65" s="3"/>
    </row>
    <row r="66" spans="1:25" ht="15.75">
      <c r="A66" s="10">
        <v>5</v>
      </c>
      <c r="B66" s="20">
        <f>'RUGI LABA TK HUNIAN'!E73</f>
        <v>75419759.20229422</v>
      </c>
      <c r="C66" s="23">
        <f t="shared" si="12"/>
        <v>-558892566.2488674</v>
      </c>
      <c r="D66" s="26"/>
      <c r="G66" s="3"/>
      <c r="J66" s="10">
        <v>5</v>
      </c>
      <c r="K66" s="20">
        <v>75419759.20229422</v>
      </c>
      <c r="L66" s="10">
        <v>0.4972</v>
      </c>
      <c r="M66" s="20">
        <f t="shared" si="10"/>
        <v>37498704.27538068</v>
      </c>
      <c r="N66" s="20">
        <f t="shared" si="13"/>
        <v>-659317275.1439654</v>
      </c>
      <c r="P66" s="3"/>
      <c r="S66" s="10">
        <v>5</v>
      </c>
      <c r="T66" s="20">
        <v>75419759.20229422</v>
      </c>
      <c r="U66" s="10">
        <v>0.4019</v>
      </c>
      <c r="V66" s="20">
        <f t="shared" si="11"/>
        <v>30311201.223402042</v>
      </c>
      <c r="W66" s="20">
        <f t="shared" si="14"/>
        <v>-680805791.9363049</v>
      </c>
      <c r="Y66" s="3"/>
    </row>
    <row r="67" spans="1:25" ht="15.75">
      <c r="A67" s="10">
        <v>6</v>
      </c>
      <c r="B67" s="20">
        <f>'RUGI LABA TK HUNIAN'!E80</f>
        <v>87495604.90766071</v>
      </c>
      <c r="C67" s="23">
        <f t="shared" si="12"/>
        <v>-471396961.34120667</v>
      </c>
      <c r="D67" s="26"/>
      <c r="G67" s="3"/>
      <c r="J67" s="10">
        <v>6</v>
      </c>
      <c r="K67" s="20">
        <v>87495604.90766071</v>
      </c>
      <c r="L67" s="10">
        <v>0.4323</v>
      </c>
      <c r="M67" s="20">
        <f t="shared" si="10"/>
        <v>37824350.00158173</v>
      </c>
      <c r="N67" s="20">
        <f t="shared" si="13"/>
        <v>-621492925.1423836</v>
      </c>
      <c r="P67" s="3"/>
      <c r="S67" s="10">
        <v>6</v>
      </c>
      <c r="T67" s="20">
        <v>87495604.90766071</v>
      </c>
      <c r="U67" s="10">
        <v>0.3349</v>
      </c>
      <c r="V67" s="20">
        <f t="shared" si="11"/>
        <v>29302278.08357557</v>
      </c>
      <c r="W67" s="20">
        <f t="shared" si="14"/>
        <v>-651503513.8527293</v>
      </c>
      <c r="Y67" s="3"/>
    </row>
    <row r="68" spans="1:25" ht="15.75">
      <c r="A68" s="10">
        <v>7</v>
      </c>
      <c r="B68" s="20">
        <f>'RUGI LABA TK HUNIAN'!K66</f>
        <v>100801704.53248952</v>
      </c>
      <c r="C68" s="23">
        <f t="shared" si="12"/>
        <v>-370595256.80871713</v>
      </c>
      <c r="D68" s="26"/>
      <c r="G68" s="3"/>
      <c r="J68" s="10">
        <v>7</v>
      </c>
      <c r="K68" s="20">
        <v>100801704.53248952</v>
      </c>
      <c r="L68" s="10">
        <v>0.3759</v>
      </c>
      <c r="M68" s="20">
        <f t="shared" si="10"/>
        <v>37891360.733762816</v>
      </c>
      <c r="N68" s="20">
        <f t="shared" si="13"/>
        <v>-583601564.4086207</v>
      </c>
      <c r="P68" s="3"/>
      <c r="S68" s="10">
        <v>7</v>
      </c>
      <c r="T68" s="20">
        <v>100801704.53248952</v>
      </c>
      <c r="U68" s="10">
        <v>0.2791</v>
      </c>
      <c r="V68" s="20">
        <f t="shared" si="11"/>
        <v>28133755.73501783</v>
      </c>
      <c r="W68" s="20">
        <f t="shared" si="14"/>
        <v>-623369758.1177115</v>
      </c>
      <c r="Y68" s="3"/>
    </row>
    <row r="69" spans="1:25" ht="15.75">
      <c r="A69" s="10">
        <v>8</v>
      </c>
      <c r="B69" s="20">
        <f>'RUGI LABA TK HUNIAN'!K73</f>
        <v>115461196.81547152</v>
      </c>
      <c r="C69" s="23">
        <f t="shared" si="12"/>
        <v>-255134059.9932456</v>
      </c>
      <c r="D69" s="26"/>
      <c r="E69" s="24">
        <v>123524525</v>
      </c>
      <c r="G69" s="3"/>
      <c r="J69" s="10">
        <v>8</v>
      </c>
      <c r="K69" s="20">
        <v>115461196.81547152</v>
      </c>
      <c r="L69" s="10">
        <v>0.3269</v>
      </c>
      <c r="M69" s="20">
        <f t="shared" si="10"/>
        <v>37744265.23897764</v>
      </c>
      <c r="N69" s="20">
        <f t="shared" si="13"/>
        <v>-545857299.169643</v>
      </c>
      <c r="P69" s="3"/>
      <c r="S69" s="10">
        <v>8</v>
      </c>
      <c r="T69" s="20">
        <v>115461196.81547152</v>
      </c>
      <c r="U69" s="10">
        <v>0.2326</v>
      </c>
      <c r="V69" s="20">
        <f t="shared" si="11"/>
        <v>26856274.379278675</v>
      </c>
      <c r="W69" s="20">
        <f t="shared" si="14"/>
        <v>-596513483.7384329</v>
      </c>
      <c r="Y69" s="3"/>
    </row>
    <row r="70" spans="1:25" ht="15.75">
      <c r="A70" s="10">
        <v>9</v>
      </c>
      <c r="B70" s="20">
        <f>'RUGI LABA TK HUNIAN'!K80</f>
        <v>131609534.9359004</v>
      </c>
      <c r="C70" s="23">
        <f t="shared" si="12"/>
        <v>-123524525.0573452</v>
      </c>
      <c r="D70" s="26"/>
      <c r="G70" s="3"/>
      <c r="J70" s="10">
        <v>9</v>
      </c>
      <c r="K70" s="20">
        <v>131609534.9359004</v>
      </c>
      <c r="L70" s="10">
        <v>0.2843</v>
      </c>
      <c r="M70" s="20">
        <f t="shared" si="10"/>
        <v>37416590.78227648</v>
      </c>
      <c r="N70" s="20">
        <f t="shared" si="13"/>
        <v>-508440708.38736653</v>
      </c>
      <c r="P70" s="3"/>
      <c r="S70" s="10">
        <v>9</v>
      </c>
      <c r="T70" s="20">
        <v>131609534.9359004</v>
      </c>
      <c r="U70" s="10">
        <v>0.1938</v>
      </c>
      <c r="V70" s="20">
        <f t="shared" si="11"/>
        <v>25505927.8705775</v>
      </c>
      <c r="W70" s="20">
        <f t="shared" si="14"/>
        <v>-571007555.8678554</v>
      </c>
      <c r="Y70" s="3"/>
    </row>
    <row r="71" spans="1:25" ht="15.75">
      <c r="A71" s="10">
        <v>10</v>
      </c>
      <c r="B71" s="20">
        <f>'RUGI LABA TK HUNIAN'!N66</f>
        <v>149395717.96056655</v>
      </c>
      <c r="C71" s="23">
        <f t="shared" si="12"/>
        <v>25871192.903221354</v>
      </c>
      <c r="D71" s="26"/>
      <c r="G71" s="3"/>
      <c r="J71" s="10">
        <v>10</v>
      </c>
      <c r="K71" s="20">
        <v>149395717.96056655</v>
      </c>
      <c r="L71" s="10">
        <v>0.2149</v>
      </c>
      <c r="M71" s="20">
        <f t="shared" si="10"/>
        <v>32105139.789725754</v>
      </c>
      <c r="N71" s="20">
        <f t="shared" si="13"/>
        <v>-476335568.59764075</v>
      </c>
      <c r="P71" s="3"/>
      <c r="S71" s="10">
        <v>10</v>
      </c>
      <c r="T71" s="20">
        <v>149395717.96056655</v>
      </c>
      <c r="U71" s="10">
        <v>0.1615</v>
      </c>
      <c r="V71" s="20">
        <f t="shared" si="11"/>
        <v>24127408.4506315</v>
      </c>
      <c r="W71" s="20">
        <f t="shared" si="14"/>
        <v>-546880147.4172239</v>
      </c>
      <c r="Y71" s="3"/>
    </row>
    <row r="72" spans="1:25" ht="15.75">
      <c r="A72" s="10">
        <v>11</v>
      </c>
      <c r="B72" s="20">
        <f>'RUGI LABA TK HUNIAN'!N73</f>
        <v>168983645.4353547</v>
      </c>
      <c r="C72" s="23">
        <f t="shared" si="12"/>
        <v>194854838.33857608</v>
      </c>
      <c r="D72" s="26"/>
      <c r="E72" s="7" t="s">
        <v>55</v>
      </c>
      <c r="G72" s="3"/>
      <c r="J72" s="10">
        <v>11</v>
      </c>
      <c r="K72" s="20">
        <v>168983645.4353547</v>
      </c>
      <c r="L72" s="10">
        <v>0.2149</v>
      </c>
      <c r="M72" s="20">
        <f t="shared" si="10"/>
        <v>36314585.404057726</v>
      </c>
      <c r="N72" s="20">
        <f t="shared" si="13"/>
        <v>-440020983.193583</v>
      </c>
      <c r="P72" s="3"/>
      <c r="S72" s="10">
        <v>11</v>
      </c>
      <c r="T72" s="20">
        <v>168983645.4353547</v>
      </c>
      <c r="U72" s="10">
        <v>0.1346</v>
      </c>
      <c r="V72" s="20">
        <f t="shared" si="11"/>
        <v>22745198.675598744</v>
      </c>
      <c r="W72" s="20">
        <f t="shared" si="14"/>
        <v>-524134948.7416252</v>
      </c>
      <c r="Y72" s="3"/>
    </row>
    <row r="73" spans="1:25" ht="15.75">
      <c r="A73" s="10">
        <v>12</v>
      </c>
      <c r="B73" s="20">
        <f>'RUGI LABA TK HUNIAN'!N80</f>
        <v>190553607.43601537</v>
      </c>
      <c r="C73" s="23">
        <f t="shared" si="12"/>
        <v>385408445.77459145</v>
      </c>
      <c r="D73" s="26"/>
      <c r="G73" s="3"/>
      <c r="J73" s="10">
        <v>12</v>
      </c>
      <c r="K73" s="20">
        <v>190553607.43601537</v>
      </c>
      <c r="L73" s="10">
        <v>0.1869</v>
      </c>
      <c r="M73" s="20">
        <f t="shared" si="10"/>
        <v>35614469.229791276</v>
      </c>
      <c r="N73" s="20">
        <f t="shared" si="13"/>
        <v>-404406513.9637917</v>
      </c>
      <c r="P73" s="3"/>
      <c r="S73" s="10">
        <v>12</v>
      </c>
      <c r="T73" s="20">
        <v>190553607.43601537</v>
      </c>
      <c r="U73" s="10">
        <v>0.1122</v>
      </c>
      <c r="V73" s="20">
        <f t="shared" si="11"/>
        <v>21380114.754320923</v>
      </c>
      <c r="W73" s="20">
        <f t="shared" si="14"/>
        <v>-502754833.9873043</v>
      </c>
      <c r="Y73" s="3"/>
    </row>
    <row r="74" spans="1:25" ht="15.75">
      <c r="A74" s="10">
        <v>13</v>
      </c>
      <c r="B74" s="20">
        <f>'RUGI LABA TK HUNIAN'!S66</f>
        <v>214303923.62402767</v>
      </c>
      <c r="C74" s="23">
        <f t="shared" si="12"/>
        <v>599712369.3986192</v>
      </c>
      <c r="D74" s="26"/>
      <c r="G74" s="3"/>
      <c r="J74" s="10">
        <v>13</v>
      </c>
      <c r="K74" s="20">
        <v>214303923.62402767</v>
      </c>
      <c r="L74" s="10">
        <v>0.1625</v>
      </c>
      <c r="M74" s="20">
        <f t="shared" si="10"/>
        <v>34824387.5889045</v>
      </c>
      <c r="N74" s="20">
        <f t="shared" si="13"/>
        <v>-369582126.3748872</v>
      </c>
      <c r="P74" s="3"/>
      <c r="S74" s="10">
        <v>13</v>
      </c>
      <c r="T74" s="20">
        <v>214303923.62402767</v>
      </c>
      <c r="U74" s="10">
        <v>0.0935</v>
      </c>
      <c r="V74" s="20">
        <f t="shared" si="11"/>
        <v>20037416.858846586</v>
      </c>
      <c r="W74" s="20">
        <f t="shared" si="14"/>
        <v>-482717417.12845767</v>
      </c>
      <c r="Y74" s="3"/>
    </row>
    <row r="75" spans="1:25" ht="15.75">
      <c r="A75" s="10">
        <v>14</v>
      </c>
      <c r="B75" s="20">
        <f>'RUGI LABA TK HUNIAN'!S73</f>
        <v>240452746.2080633</v>
      </c>
      <c r="C75" s="23">
        <f t="shared" si="12"/>
        <v>840165115.6066825</v>
      </c>
      <c r="D75" s="26"/>
      <c r="G75" s="3"/>
      <c r="J75" s="10">
        <v>14</v>
      </c>
      <c r="K75" s="20">
        <v>240452746.2080633</v>
      </c>
      <c r="L75" s="10">
        <v>0.1413</v>
      </c>
      <c r="M75" s="20">
        <f t="shared" si="10"/>
        <v>33975973.039199345</v>
      </c>
      <c r="N75" s="20">
        <f t="shared" si="13"/>
        <v>-335606153.3356879</v>
      </c>
      <c r="P75" s="3"/>
      <c r="S75" s="10">
        <v>14</v>
      </c>
      <c r="T75" s="20">
        <v>240452746.2080633</v>
      </c>
      <c r="U75" s="10">
        <v>0.0779</v>
      </c>
      <c r="V75" s="20">
        <f t="shared" si="11"/>
        <v>18731268.92960813</v>
      </c>
      <c r="W75" s="20">
        <f t="shared" si="14"/>
        <v>-463986148.19884956</v>
      </c>
      <c r="Y75" s="3"/>
    </row>
    <row r="76" spans="1:25" ht="15.75">
      <c r="A76" s="10">
        <v>15</v>
      </c>
      <c r="B76" s="20">
        <f>'RUGI LABA TK HUNIAN'!S80</f>
        <v>269240043.2016106</v>
      </c>
      <c r="C76" s="23">
        <f t="shared" si="12"/>
        <v>1109405158.808293</v>
      </c>
      <c r="D76" s="26"/>
      <c r="G76" s="3"/>
      <c r="J76" s="10">
        <v>15</v>
      </c>
      <c r="K76" s="20">
        <v>269240043.2016106</v>
      </c>
      <c r="L76" s="10">
        <v>0.1229</v>
      </c>
      <c r="M76" s="20">
        <f t="shared" si="10"/>
        <v>33089601.309477944</v>
      </c>
      <c r="N76" s="20">
        <f t="shared" si="13"/>
        <v>-302516552.02620995</v>
      </c>
      <c r="P76" s="3"/>
      <c r="S76" s="10">
        <v>15</v>
      </c>
      <c r="T76" s="20">
        <v>269240043.2016106</v>
      </c>
      <c r="U76" s="10">
        <v>0.0649</v>
      </c>
      <c r="V76" s="20">
        <f t="shared" si="11"/>
        <v>17473678.80378453</v>
      </c>
      <c r="W76" s="20">
        <f t="shared" si="14"/>
        <v>-446512469.395065</v>
      </c>
      <c r="Y76" s="3"/>
    </row>
    <row r="77" spans="1:25" ht="15.75">
      <c r="A77" s="10">
        <v>16</v>
      </c>
      <c r="B77" s="20">
        <f>'RUGI LABA TK HUNIAN'!V66</f>
        <v>300929780.00637645</v>
      </c>
      <c r="C77" s="23">
        <f t="shared" si="12"/>
        <v>1410334938.8146696</v>
      </c>
      <c r="D77" s="26"/>
      <c r="G77" s="3"/>
      <c r="J77" s="10">
        <v>16</v>
      </c>
      <c r="K77" s="20">
        <v>300929780.00637645</v>
      </c>
      <c r="L77" s="10">
        <v>0.1069</v>
      </c>
      <c r="M77" s="20">
        <f t="shared" si="10"/>
        <v>32169393.48268164</v>
      </c>
      <c r="N77" s="20">
        <f t="shared" si="13"/>
        <v>-270347158.5435283</v>
      </c>
      <c r="P77" s="3"/>
      <c r="S77" s="10">
        <v>16</v>
      </c>
      <c r="T77" s="20">
        <v>300929780.00637645</v>
      </c>
      <c r="U77" s="10">
        <v>0.0541</v>
      </c>
      <c r="V77" s="20">
        <f t="shared" si="11"/>
        <v>16280301.098344967</v>
      </c>
      <c r="W77" s="20">
        <f t="shared" si="14"/>
        <v>-430232168.29672</v>
      </c>
      <c r="Y77" s="3"/>
    </row>
    <row r="78" spans="1:25" ht="15.75">
      <c r="A78" s="10">
        <v>17</v>
      </c>
      <c r="B78" s="20">
        <f>'RUGI LABA TK HUNIAN'!V73</f>
        <v>335812319.1540418</v>
      </c>
      <c r="C78" s="23">
        <f t="shared" si="12"/>
        <v>1746147257.9687114</v>
      </c>
      <c r="D78" s="26"/>
      <c r="G78" s="3"/>
      <c r="J78" s="10">
        <v>17</v>
      </c>
      <c r="K78" s="20">
        <v>335812319.1540418</v>
      </c>
      <c r="L78" s="10">
        <v>0.0929</v>
      </c>
      <c r="M78" s="20">
        <f t="shared" si="10"/>
        <v>31196964.449410483</v>
      </c>
      <c r="N78" s="20">
        <f t="shared" si="13"/>
        <v>-239150194.09411782</v>
      </c>
      <c r="P78" s="3"/>
      <c r="S78" s="10">
        <v>17</v>
      </c>
      <c r="T78" s="20">
        <v>335812319.1540418</v>
      </c>
      <c r="U78" s="10">
        <v>0.0451</v>
      </c>
      <c r="V78" s="20">
        <f t="shared" si="11"/>
        <v>15145135.593847286</v>
      </c>
      <c r="W78" s="20">
        <f t="shared" si="14"/>
        <v>-415087032.70287275</v>
      </c>
      <c r="Y78" s="3"/>
    </row>
    <row r="79" spans="1:25" ht="15.75">
      <c r="A79" s="10">
        <v>18</v>
      </c>
      <c r="B79" s="20">
        <f>'RUGI LABA TK HUNIAN'!V80</f>
        <v>374207060.02220887</v>
      </c>
      <c r="C79" s="23">
        <f t="shared" si="12"/>
        <v>2120354317.9909203</v>
      </c>
      <c r="D79" s="26"/>
      <c r="E79" s="7" t="s">
        <v>118</v>
      </c>
      <c r="G79" s="3"/>
      <c r="J79" s="10">
        <v>18</v>
      </c>
      <c r="K79" s="20">
        <v>374207060.02220887</v>
      </c>
      <c r="L79" s="10">
        <v>0.0808</v>
      </c>
      <c r="M79" s="20">
        <f t="shared" si="10"/>
        <v>30235930.449794475</v>
      </c>
      <c r="N79" s="20">
        <f t="shared" si="13"/>
        <v>-208914263.64432335</v>
      </c>
      <c r="P79" s="3"/>
      <c r="S79" s="10">
        <v>18</v>
      </c>
      <c r="T79" s="20">
        <v>374207060.02220887</v>
      </c>
      <c r="U79" s="10">
        <v>0.0376</v>
      </c>
      <c r="V79" s="20">
        <f t="shared" si="11"/>
        <v>14070185.456835054</v>
      </c>
      <c r="W79" s="20">
        <f t="shared" si="14"/>
        <v>-401016847.2460377</v>
      </c>
      <c r="Y79" s="3"/>
    </row>
    <row r="80" spans="1:25" ht="15.75">
      <c r="A80" s="10">
        <v>19</v>
      </c>
      <c r="B80" s="20">
        <f>'RUGI LABA TK HUNIAN'!AA66</f>
        <v>416465342.52195644</v>
      </c>
      <c r="C80" s="23">
        <f t="shared" si="12"/>
        <v>2536819660.5128765</v>
      </c>
      <c r="D80" s="26"/>
      <c r="G80" s="3"/>
      <c r="J80" s="10">
        <v>19</v>
      </c>
      <c r="K80" s="20">
        <v>416465342.52195644</v>
      </c>
      <c r="L80" s="10">
        <v>0.0703</v>
      </c>
      <c r="M80" s="20">
        <f t="shared" si="10"/>
        <v>29277513.579293538</v>
      </c>
      <c r="N80" s="20">
        <f t="shared" si="13"/>
        <v>-179636750.0650298</v>
      </c>
      <c r="P80" s="3"/>
      <c r="S80" s="10">
        <v>19</v>
      </c>
      <c r="T80" s="20">
        <v>416465342.52195644</v>
      </c>
      <c r="U80" s="10">
        <v>0.0313</v>
      </c>
      <c r="V80" s="20">
        <f t="shared" si="11"/>
        <v>13035365.220937237</v>
      </c>
      <c r="W80" s="20">
        <f t="shared" si="14"/>
        <v>-387981482.02510047</v>
      </c>
      <c r="Y80" s="3"/>
    </row>
    <row r="81" spans="1:25" ht="15.75">
      <c r="A81" s="10">
        <v>20</v>
      </c>
      <c r="B81" s="20">
        <f>'RUGI LABA TK HUNIAN'!AA73</f>
        <v>462973641.1541663</v>
      </c>
      <c r="C81" s="23">
        <f t="shared" si="12"/>
        <v>2999793301.6670427</v>
      </c>
      <c r="D81" s="26"/>
      <c r="G81" s="8"/>
      <c r="J81" s="10">
        <v>20</v>
      </c>
      <c r="K81" s="20">
        <f>462973641.154166+1856250000</f>
        <v>2319223641.154166</v>
      </c>
      <c r="L81" s="10">
        <v>0.0611</v>
      </c>
      <c r="M81" s="20">
        <f t="shared" si="10"/>
        <v>141704564.47451955</v>
      </c>
      <c r="N81" s="20">
        <f t="shared" si="13"/>
        <v>-37932185.59051025</v>
      </c>
      <c r="P81" s="8"/>
      <c r="S81" s="10">
        <v>20</v>
      </c>
      <c r="T81" s="20">
        <v>2319223641.154166</v>
      </c>
      <c r="U81" s="10">
        <v>0.0261</v>
      </c>
      <c r="V81" s="20">
        <f t="shared" si="11"/>
        <v>60531737.03412374</v>
      </c>
      <c r="W81" s="20">
        <f t="shared" si="14"/>
        <v>-327449744.99097675</v>
      </c>
      <c r="Y81" s="8"/>
    </row>
    <row r="82" spans="7:25" ht="15.75">
      <c r="G82" s="8"/>
      <c r="P82" s="8"/>
      <c r="Y82" s="8"/>
    </row>
    <row r="83" spans="10:23" ht="15.75">
      <c r="J83" s="7" t="s">
        <v>122</v>
      </c>
      <c r="S83" s="7" t="s">
        <v>128</v>
      </c>
      <c r="U83" s="32"/>
      <c r="V83" s="32"/>
      <c r="W83" s="32"/>
    </row>
    <row r="84" spans="19:23" ht="15.75">
      <c r="S84" s="7" t="s">
        <v>133</v>
      </c>
      <c r="U84" s="32"/>
      <c r="V84" s="52"/>
      <c r="W84" s="32"/>
    </row>
    <row r="85" spans="1:9" ht="15.75">
      <c r="A85" s="66" t="s">
        <v>77</v>
      </c>
      <c r="B85" s="66"/>
      <c r="C85" s="66"/>
      <c r="D85" s="66"/>
      <c r="E85" s="66"/>
      <c r="F85" s="66"/>
      <c r="G85" s="66"/>
      <c r="H85" s="66"/>
      <c r="I85" s="66"/>
    </row>
    <row r="86" spans="1:19" ht="15.75">
      <c r="A86" s="7" t="s">
        <v>30</v>
      </c>
      <c r="J86" s="7" t="s">
        <v>58</v>
      </c>
      <c r="S86" s="7" t="s">
        <v>126</v>
      </c>
    </row>
    <row r="87" ht="15.75">
      <c r="E87" s="22"/>
    </row>
    <row r="88" spans="1:23" ht="15.75">
      <c r="A88" s="10" t="s">
        <v>52</v>
      </c>
      <c r="B88" s="10" t="s">
        <v>51</v>
      </c>
      <c r="C88" s="10" t="s">
        <v>54</v>
      </c>
      <c r="D88" s="25"/>
      <c r="J88" s="10" t="s">
        <v>52</v>
      </c>
      <c r="K88" s="10" t="s">
        <v>51</v>
      </c>
      <c r="L88" s="10" t="s">
        <v>57</v>
      </c>
      <c r="M88" s="10" t="s">
        <v>53</v>
      </c>
      <c r="N88" s="10" t="s">
        <v>54</v>
      </c>
      <c r="S88" s="10" t="s">
        <v>52</v>
      </c>
      <c r="T88" s="10" t="s">
        <v>51</v>
      </c>
      <c r="U88" s="10" t="s">
        <v>124</v>
      </c>
      <c r="V88" s="10" t="s">
        <v>53</v>
      </c>
      <c r="W88" s="10" t="s">
        <v>54</v>
      </c>
    </row>
    <row r="89" spans="1:23" ht="15.75">
      <c r="A89" s="10">
        <v>0</v>
      </c>
      <c r="B89" s="23">
        <f>B61</f>
        <v>-838132234</v>
      </c>
      <c r="C89" s="23">
        <f>B89</f>
        <v>-838132234</v>
      </c>
      <c r="D89" s="26"/>
      <c r="J89" s="10">
        <v>0</v>
      </c>
      <c r="K89" s="20">
        <v>-838132234</v>
      </c>
      <c r="L89" s="10">
        <v>1</v>
      </c>
      <c r="M89" s="20">
        <f>L89*K89</f>
        <v>-838132234</v>
      </c>
      <c r="N89" s="20">
        <f>M89</f>
        <v>-838132234</v>
      </c>
      <c r="S89" s="10">
        <v>0</v>
      </c>
      <c r="T89" s="20">
        <v>-838132234</v>
      </c>
      <c r="U89" s="10">
        <v>1</v>
      </c>
      <c r="V89" s="20">
        <f>U89*T89</f>
        <v>-838132234</v>
      </c>
      <c r="W89" s="20">
        <f>V89</f>
        <v>-838132234</v>
      </c>
    </row>
    <row r="90" spans="1:25" ht="15.75">
      <c r="A90" s="10">
        <v>1</v>
      </c>
      <c r="B90" s="20">
        <f>'RUGI LABA TK HUNIAN'!B94</f>
        <v>29566274.8</v>
      </c>
      <c r="C90" s="23">
        <f>C89+B90</f>
        <v>-808565959.2</v>
      </c>
      <c r="D90" s="26"/>
      <c r="G90" s="3"/>
      <c r="J90" s="10">
        <v>1</v>
      </c>
      <c r="K90" s="20">
        <v>29566274.8</v>
      </c>
      <c r="L90" s="10">
        <v>0.8696</v>
      </c>
      <c r="M90" s="20">
        <f aca="true" t="shared" si="15" ref="M90:M109">L90*K90</f>
        <v>25710832.56608</v>
      </c>
      <c r="N90" s="20">
        <f>N89+M90</f>
        <v>-812421401.43392</v>
      </c>
      <c r="P90" s="3"/>
      <c r="S90" s="10">
        <v>1</v>
      </c>
      <c r="T90" s="20">
        <v>29566274.8</v>
      </c>
      <c r="U90" s="10">
        <v>0.8333</v>
      </c>
      <c r="V90" s="20">
        <f aca="true" t="shared" si="16" ref="V90:V109">U90*T90</f>
        <v>24637576.790840004</v>
      </c>
      <c r="W90" s="20">
        <f>W89+V90</f>
        <v>-813494657.20916</v>
      </c>
      <c r="Y90" s="3"/>
    </row>
    <row r="91" spans="1:25" ht="15.75">
      <c r="A91" s="10">
        <v>2</v>
      </c>
      <c r="B91" s="20">
        <f>'RUGI LABA TK HUNIAN'!B101</f>
        <v>34761767.54000001</v>
      </c>
      <c r="C91" s="23">
        <f aca="true" t="shared" si="17" ref="C91:C109">C90+B91</f>
        <v>-773804191.6600001</v>
      </c>
      <c r="D91" s="26"/>
      <c r="G91" s="3">
        <v>13881129</v>
      </c>
      <c r="J91" s="10">
        <v>2</v>
      </c>
      <c r="K91" s="20">
        <v>34761767.54000001</v>
      </c>
      <c r="L91" s="10">
        <v>0.7561</v>
      </c>
      <c r="M91" s="20">
        <f t="shared" si="15"/>
        <v>26283372.436994005</v>
      </c>
      <c r="N91" s="20">
        <f aca="true" t="shared" si="18" ref="N91:N109">N90+M91</f>
        <v>-786138028.9969261</v>
      </c>
      <c r="P91" s="3"/>
      <c r="S91" s="10">
        <v>2</v>
      </c>
      <c r="T91" s="20">
        <v>34761767.54000001</v>
      </c>
      <c r="U91" s="10">
        <v>0.6944</v>
      </c>
      <c r="V91" s="20">
        <f t="shared" si="16"/>
        <v>24138571.379776005</v>
      </c>
      <c r="W91" s="20">
        <f aca="true" t="shared" si="19" ref="W91:W109">W90+V91</f>
        <v>-789356085.829384</v>
      </c>
      <c r="Y91" s="3"/>
    </row>
    <row r="92" spans="1:25" ht="15.75">
      <c r="A92" s="10">
        <v>3</v>
      </c>
      <c r="B92" s="20">
        <f>'RUGI LABA TK HUNIAN'!B108</f>
        <v>42704480.4877</v>
      </c>
      <c r="C92" s="23">
        <f t="shared" si="17"/>
        <v>-731099711.1723001</v>
      </c>
      <c r="D92" s="26"/>
      <c r="G92" s="3"/>
      <c r="J92" s="10">
        <v>3</v>
      </c>
      <c r="K92" s="20">
        <v>42704480.4877</v>
      </c>
      <c r="L92" s="10">
        <v>0.6575</v>
      </c>
      <c r="M92" s="20">
        <f t="shared" si="15"/>
        <v>28078195.92066275</v>
      </c>
      <c r="N92" s="20">
        <f t="shared" si="18"/>
        <v>-758059833.0762633</v>
      </c>
      <c r="P92" s="3"/>
      <c r="S92" s="10">
        <v>3</v>
      </c>
      <c r="T92" s="20">
        <v>42704480.4877</v>
      </c>
      <c r="U92" s="10">
        <v>0.5787</v>
      </c>
      <c r="V92" s="20">
        <f t="shared" si="16"/>
        <v>24713082.85823199</v>
      </c>
      <c r="W92" s="20">
        <f t="shared" si="19"/>
        <v>-764643002.971152</v>
      </c>
      <c r="Y92" s="3"/>
    </row>
    <row r="93" spans="1:25" ht="15.75">
      <c r="A93" s="10">
        <v>4</v>
      </c>
      <c r="B93" s="20">
        <f>'RUGI LABA TK HUNIAN'!E94</f>
        <v>51463797.41113849</v>
      </c>
      <c r="C93" s="23">
        <f t="shared" si="17"/>
        <v>-679635913.7611616</v>
      </c>
      <c r="D93" s="26"/>
      <c r="G93" s="3"/>
      <c r="J93" s="10">
        <v>4</v>
      </c>
      <c r="K93" s="20">
        <v>51463797.41113849</v>
      </c>
      <c r="L93" s="10">
        <v>0.5718</v>
      </c>
      <c r="M93" s="20">
        <f t="shared" si="15"/>
        <v>29426999.359688986</v>
      </c>
      <c r="N93" s="20">
        <f t="shared" si="18"/>
        <v>-728632833.7165743</v>
      </c>
      <c r="P93" s="3"/>
      <c r="S93" s="10">
        <v>4</v>
      </c>
      <c r="T93" s="20">
        <v>51463797.41113849</v>
      </c>
      <c r="U93" s="10">
        <v>0.4823</v>
      </c>
      <c r="V93" s="20">
        <f t="shared" si="16"/>
        <v>24820989.491392095</v>
      </c>
      <c r="W93" s="20">
        <f t="shared" si="19"/>
        <v>-739822013.4797598</v>
      </c>
      <c r="Y93" s="3"/>
    </row>
    <row r="94" spans="1:25" ht="15.75">
      <c r="A94" s="10">
        <v>5</v>
      </c>
      <c r="B94" s="20">
        <f>'RUGI LABA TK HUNIAN'!E101</f>
        <v>61121490.371294186</v>
      </c>
      <c r="C94" s="23">
        <f t="shared" si="17"/>
        <v>-618514423.3898674</v>
      </c>
      <c r="D94" s="26"/>
      <c r="G94" s="3"/>
      <c r="J94" s="10">
        <v>5</v>
      </c>
      <c r="K94" s="20">
        <v>61121490.371294186</v>
      </c>
      <c r="L94" s="10">
        <v>0.4972</v>
      </c>
      <c r="M94" s="20">
        <f t="shared" si="15"/>
        <v>30389605.012607466</v>
      </c>
      <c r="N94" s="20">
        <f t="shared" si="18"/>
        <v>-698243228.7039669</v>
      </c>
      <c r="P94" s="3"/>
      <c r="S94" s="10">
        <v>5</v>
      </c>
      <c r="T94" s="20">
        <v>61121490.371294186</v>
      </c>
      <c r="U94" s="10">
        <v>0.4019</v>
      </c>
      <c r="V94" s="20">
        <f t="shared" si="16"/>
        <v>24564726.98022313</v>
      </c>
      <c r="W94" s="20">
        <f t="shared" si="19"/>
        <v>-715257286.4995366</v>
      </c>
      <c r="Y94" s="3"/>
    </row>
    <row r="95" spans="1:25" ht="15.75">
      <c r="A95" s="10">
        <v>6</v>
      </c>
      <c r="B95" s="20">
        <f>'RUGI LABA TK HUNIAN'!E108</f>
        <v>71767509.19356066</v>
      </c>
      <c r="C95" s="23">
        <f t="shared" si="17"/>
        <v>-546746914.1963067</v>
      </c>
      <c r="D95" s="26"/>
      <c r="G95" s="3"/>
      <c r="J95" s="10">
        <v>6</v>
      </c>
      <c r="K95" s="20">
        <v>71767509.19356066</v>
      </c>
      <c r="L95" s="10">
        <v>0.4323</v>
      </c>
      <c r="M95" s="20">
        <f t="shared" si="15"/>
        <v>31025094.224376276</v>
      </c>
      <c r="N95" s="20">
        <f t="shared" si="18"/>
        <v>-667218134.4795905</v>
      </c>
      <c r="P95" s="3"/>
      <c r="S95" s="10">
        <v>6</v>
      </c>
      <c r="T95" s="20">
        <v>71767509.19356066</v>
      </c>
      <c r="U95" s="10">
        <v>0.3349</v>
      </c>
      <c r="V95" s="20">
        <f t="shared" si="16"/>
        <v>24034938.828923464</v>
      </c>
      <c r="W95" s="20">
        <f t="shared" si="19"/>
        <v>-691222347.6706132</v>
      </c>
      <c r="Y95" s="3"/>
    </row>
    <row r="96" spans="1:25" ht="15.75">
      <c r="A96" s="10">
        <v>7</v>
      </c>
      <c r="B96" s="20">
        <f>'RUGI LABA TK HUNIAN'!K94</f>
        <v>83500799.24697946</v>
      </c>
      <c r="C96" s="23">
        <f t="shared" si="17"/>
        <v>-463246114.94932723</v>
      </c>
      <c r="D96" s="26"/>
      <c r="G96" s="3"/>
      <c r="J96" s="10">
        <v>7</v>
      </c>
      <c r="K96" s="20">
        <v>83500799.24697946</v>
      </c>
      <c r="L96" s="10">
        <v>0.3759</v>
      </c>
      <c r="M96" s="20">
        <f t="shared" si="15"/>
        <v>31387950.43693958</v>
      </c>
      <c r="N96" s="20">
        <f t="shared" si="18"/>
        <v>-635830184.0426509</v>
      </c>
      <c r="P96" s="3"/>
      <c r="S96" s="10">
        <v>7</v>
      </c>
      <c r="T96" s="20">
        <v>83500799.24697946</v>
      </c>
      <c r="U96" s="10">
        <v>0.2791</v>
      </c>
      <c r="V96" s="20">
        <f t="shared" si="16"/>
        <v>23305073.069831967</v>
      </c>
      <c r="W96" s="20">
        <f t="shared" si="19"/>
        <v>-667917274.6007812</v>
      </c>
      <c r="Y96" s="3"/>
    </row>
    <row r="97" spans="1:25" ht="15.75">
      <c r="A97" s="10">
        <v>8</v>
      </c>
      <c r="B97" s="20">
        <f>'RUGI LABA TK HUNIAN'!K101</f>
        <v>96430201.00141044</v>
      </c>
      <c r="C97" s="23">
        <f t="shared" si="17"/>
        <v>-366815913.9479168</v>
      </c>
      <c r="D97" s="26"/>
      <c r="E97" s="24">
        <v>129772261</v>
      </c>
      <c r="G97" s="3"/>
      <c r="J97" s="10">
        <v>8</v>
      </c>
      <c r="K97" s="20">
        <v>96430201.00141044</v>
      </c>
      <c r="L97" s="10">
        <v>0.3269</v>
      </c>
      <c r="M97" s="20">
        <f t="shared" si="15"/>
        <v>31523032.707361076</v>
      </c>
      <c r="N97" s="20">
        <f t="shared" si="18"/>
        <v>-604307151.3352898</v>
      </c>
      <c r="P97" s="3"/>
      <c r="S97" s="10">
        <v>8</v>
      </c>
      <c r="T97" s="20">
        <v>96430201.00141044</v>
      </c>
      <c r="U97" s="10">
        <v>0.2326</v>
      </c>
      <c r="V97" s="20">
        <f t="shared" si="16"/>
        <v>22429664.752928067</v>
      </c>
      <c r="W97" s="20">
        <f t="shared" si="19"/>
        <v>-645487609.8478532</v>
      </c>
      <c r="Y97" s="3"/>
    </row>
    <row r="98" spans="1:25" ht="15.75">
      <c r="A98" s="10">
        <v>9</v>
      </c>
      <c r="B98" s="20">
        <f>'RUGI LABA TK HUNIAN'!K108</f>
        <v>110675439.54043321</v>
      </c>
      <c r="C98" s="23">
        <f t="shared" si="17"/>
        <v>-256140474.40748358</v>
      </c>
      <c r="D98" s="26"/>
      <c r="G98" s="3"/>
      <c r="J98" s="10">
        <v>9</v>
      </c>
      <c r="K98" s="20">
        <v>110675439.54043321</v>
      </c>
      <c r="L98" s="10">
        <v>0.2843</v>
      </c>
      <c r="M98" s="20">
        <f t="shared" si="15"/>
        <v>31465027.461345162</v>
      </c>
      <c r="N98" s="20">
        <f t="shared" si="18"/>
        <v>-572842123.8739446</v>
      </c>
      <c r="P98" s="3"/>
      <c r="S98" s="10">
        <v>9</v>
      </c>
      <c r="T98" s="20">
        <v>110675439.54043321</v>
      </c>
      <c r="U98" s="10">
        <v>0.1938</v>
      </c>
      <c r="V98" s="20">
        <f t="shared" si="16"/>
        <v>21448900.182935957</v>
      </c>
      <c r="W98" s="20">
        <f t="shared" si="19"/>
        <v>-624038709.6649172</v>
      </c>
      <c r="Y98" s="3"/>
    </row>
    <row r="99" spans="1:25" ht="15.75">
      <c r="A99" s="10">
        <v>10</v>
      </c>
      <c r="B99" s="20">
        <f>'RUGI LABA TK HUNIAN'!N94</f>
        <v>126368213.02555263</v>
      </c>
      <c r="C99" s="23">
        <f t="shared" si="17"/>
        <v>-129772261.38193095</v>
      </c>
      <c r="D99" s="26"/>
      <c r="G99" s="3"/>
      <c r="J99" s="10">
        <v>10</v>
      </c>
      <c r="K99" s="20">
        <v>126368213.02555263</v>
      </c>
      <c r="L99" s="10">
        <v>0.2149</v>
      </c>
      <c r="M99" s="20">
        <f t="shared" si="15"/>
        <v>27156528.979191262</v>
      </c>
      <c r="N99" s="20">
        <f t="shared" si="18"/>
        <v>-545685594.8947533</v>
      </c>
      <c r="P99" s="3"/>
      <c r="S99" s="10">
        <v>10</v>
      </c>
      <c r="T99" s="20">
        <v>126368213.02555263</v>
      </c>
      <c r="U99" s="10">
        <v>0.1615</v>
      </c>
      <c r="V99" s="20">
        <f t="shared" si="16"/>
        <v>20408466.40362675</v>
      </c>
      <c r="W99" s="20">
        <f t="shared" si="19"/>
        <v>-603630243.2612904</v>
      </c>
      <c r="Y99" s="3"/>
    </row>
    <row r="100" spans="1:25" ht="15.75">
      <c r="A100" s="10">
        <v>11</v>
      </c>
      <c r="B100" s="20">
        <f>'RUGI LABA TK HUNIAN'!N101</f>
        <v>143653390.0068394</v>
      </c>
      <c r="C100" s="23">
        <f t="shared" si="17"/>
        <v>13881128.624908447</v>
      </c>
      <c r="D100" s="26"/>
      <c r="E100" s="7" t="s">
        <v>55</v>
      </c>
      <c r="G100" s="3"/>
      <c r="J100" s="10">
        <v>11</v>
      </c>
      <c r="K100" s="20">
        <v>143653390.0068394</v>
      </c>
      <c r="L100" s="10">
        <v>0.2149</v>
      </c>
      <c r="M100" s="20">
        <f t="shared" si="15"/>
        <v>30871113.512469787</v>
      </c>
      <c r="N100" s="20">
        <f t="shared" si="18"/>
        <v>-514814481.38228357</v>
      </c>
      <c r="P100" s="3"/>
      <c r="S100" s="10">
        <v>11</v>
      </c>
      <c r="T100" s="20">
        <v>143653390.0068394</v>
      </c>
      <c r="U100" s="10">
        <v>0.1346</v>
      </c>
      <c r="V100" s="20">
        <f t="shared" si="16"/>
        <v>19335746.294920582</v>
      </c>
      <c r="W100" s="20">
        <f t="shared" si="19"/>
        <v>-584294496.9663699</v>
      </c>
      <c r="Y100" s="3"/>
    </row>
    <row r="101" spans="1:25" ht="15.75">
      <c r="A101" s="10">
        <v>12</v>
      </c>
      <c r="B101" s="20">
        <f>'RUGI LABA TK HUNIAN'!N108</f>
        <v>162690326.46464854</v>
      </c>
      <c r="C101" s="23">
        <f t="shared" si="17"/>
        <v>176571455.089557</v>
      </c>
      <c r="D101" s="26"/>
      <c r="G101" s="3"/>
      <c r="J101" s="10">
        <v>12</v>
      </c>
      <c r="K101" s="20">
        <v>162690326.46464854</v>
      </c>
      <c r="L101" s="10">
        <v>0.1869</v>
      </c>
      <c r="M101" s="20">
        <f t="shared" si="15"/>
        <v>30406822.016242813</v>
      </c>
      <c r="N101" s="20">
        <f t="shared" si="18"/>
        <v>-484407659.36604077</v>
      </c>
      <c r="P101" s="3"/>
      <c r="S101" s="10">
        <v>12</v>
      </c>
      <c r="T101" s="20">
        <v>162690326.46464854</v>
      </c>
      <c r="U101" s="10">
        <v>0.1122</v>
      </c>
      <c r="V101" s="20">
        <f t="shared" si="16"/>
        <v>18253854.629333567</v>
      </c>
      <c r="W101" s="20">
        <f t="shared" si="19"/>
        <v>-566040642.3370363</v>
      </c>
      <c r="Y101" s="3"/>
    </row>
    <row r="102" spans="1:25" ht="15.75">
      <c r="A102" s="10">
        <v>13</v>
      </c>
      <c r="B102" s="20">
        <f>'RUGI LABA TK HUNIAN'!S94</f>
        <v>183654314.55552417</v>
      </c>
      <c r="C102" s="23">
        <f t="shared" si="17"/>
        <v>360225769.64508116</v>
      </c>
      <c r="D102" s="26"/>
      <c r="G102" s="3"/>
      <c r="J102" s="10">
        <v>13</v>
      </c>
      <c r="K102" s="20">
        <v>183654314.55552417</v>
      </c>
      <c r="L102" s="10">
        <v>0.1625</v>
      </c>
      <c r="M102" s="20">
        <f t="shared" si="15"/>
        <v>29843826.11527268</v>
      </c>
      <c r="N102" s="20">
        <f t="shared" si="18"/>
        <v>-454563833.25076807</v>
      </c>
      <c r="P102" s="3"/>
      <c r="S102" s="10">
        <v>13</v>
      </c>
      <c r="T102" s="20">
        <v>183654314.55552417</v>
      </c>
      <c r="U102" s="10">
        <v>0.0935</v>
      </c>
      <c r="V102" s="20">
        <f t="shared" si="16"/>
        <v>17171678.41094151</v>
      </c>
      <c r="W102" s="20">
        <f t="shared" si="19"/>
        <v>-548868963.9260948</v>
      </c>
      <c r="Y102" s="3"/>
    </row>
    <row r="103" spans="1:25" ht="15.75">
      <c r="A103" s="10">
        <v>14</v>
      </c>
      <c r="B103" s="20">
        <f>'RUGI LABA TK HUNIAN'!S101</f>
        <v>206738176.23270947</v>
      </c>
      <c r="C103" s="23">
        <f t="shared" si="17"/>
        <v>566963945.8777907</v>
      </c>
      <c r="D103" s="26"/>
      <c r="G103" s="3"/>
      <c r="J103" s="10">
        <v>14</v>
      </c>
      <c r="K103" s="20">
        <v>206738176.23270947</v>
      </c>
      <c r="L103" s="10">
        <v>0.1413</v>
      </c>
      <c r="M103" s="20">
        <f t="shared" si="15"/>
        <v>29212104.30168185</v>
      </c>
      <c r="N103" s="20">
        <f t="shared" si="18"/>
        <v>-425351728.9490862</v>
      </c>
      <c r="P103" s="3"/>
      <c r="S103" s="10">
        <v>14</v>
      </c>
      <c r="T103" s="20">
        <v>206738176.23270947</v>
      </c>
      <c r="U103" s="10">
        <v>0.0779</v>
      </c>
      <c r="V103" s="20">
        <f t="shared" si="16"/>
        <v>16104903.928528067</v>
      </c>
      <c r="W103" s="20">
        <f t="shared" si="19"/>
        <v>-532764059.9975667</v>
      </c>
      <c r="Y103" s="3"/>
    </row>
    <row r="104" spans="1:25" ht="15.75">
      <c r="A104" s="10">
        <v>15</v>
      </c>
      <c r="B104" s="20">
        <f>'RUGI LABA TK HUNIAN'!S108</f>
        <v>232154016.22872144</v>
      </c>
      <c r="C104" s="23">
        <f t="shared" si="17"/>
        <v>799117962.1065121</v>
      </c>
      <c r="D104" s="26"/>
      <c r="G104" s="3"/>
      <c r="J104" s="10">
        <v>15</v>
      </c>
      <c r="K104" s="20">
        <v>232154016.22872144</v>
      </c>
      <c r="L104" s="10">
        <v>0.1229</v>
      </c>
      <c r="M104" s="20">
        <f t="shared" si="15"/>
        <v>28531728.594509862</v>
      </c>
      <c r="N104" s="20">
        <f t="shared" si="18"/>
        <v>-396820000.35457635</v>
      </c>
      <c r="P104" s="3"/>
      <c r="S104" s="10">
        <v>15</v>
      </c>
      <c r="T104" s="20">
        <v>232154016.22872144</v>
      </c>
      <c r="U104" s="10">
        <v>0.0649</v>
      </c>
      <c r="V104" s="20">
        <f t="shared" si="16"/>
        <v>15066795.65324402</v>
      </c>
      <c r="W104" s="20">
        <f t="shared" si="19"/>
        <v>-517697264.3443227</v>
      </c>
      <c r="Y104" s="3"/>
    </row>
    <row r="105" spans="1:25" ht="15.75">
      <c r="A105" s="10">
        <v>16</v>
      </c>
      <c r="B105" s="20">
        <f>'RUGI LABA TK HUNIAN'!V94</f>
        <v>260135150.33619833</v>
      </c>
      <c r="C105" s="23">
        <f t="shared" si="17"/>
        <v>1059253112.4427104</v>
      </c>
      <c r="D105" s="26"/>
      <c r="G105" s="3"/>
      <c r="J105" s="10">
        <v>16</v>
      </c>
      <c r="K105" s="20">
        <v>260135150.33619833</v>
      </c>
      <c r="L105" s="10">
        <v>0.1069</v>
      </c>
      <c r="M105" s="20">
        <f t="shared" si="15"/>
        <v>27808447.5709396</v>
      </c>
      <c r="N105" s="20">
        <f t="shared" si="18"/>
        <v>-369011552.78363675</v>
      </c>
      <c r="P105" s="3"/>
      <c r="S105" s="10">
        <v>16</v>
      </c>
      <c r="T105" s="20">
        <v>260135150.33619833</v>
      </c>
      <c r="U105" s="10">
        <v>0.0541</v>
      </c>
      <c r="V105" s="20">
        <f t="shared" si="16"/>
        <v>14073311.63318833</v>
      </c>
      <c r="W105" s="20">
        <f t="shared" si="19"/>
        <v>-503623952.7111344</v>
      </c>
      <c r="Y105" s="3"/>
    </row>
    <row r="106" spans="1:25" ht="15.75">
      <c r="A106" s="10">
        <v>17</v>
      </c>
      <c r="B106" s="20">
        <f>'RUGI LABA TK HUNIAN'!V101</f>
        <v>290938226.5168459</v>
      </c>
      <c r="C106" s="23">
        <f t="shared" si="17"/>
        <v>1350191338.9595563</v>
      </c>
      <c r="D106" s="26"/>
      <c r="G106" s="3"/>
      <c r="J106" s="10">
        <v>17</v>
      </c>
      <c r="K106" s="20">
        <v>290938226.5168459</v>
      </c>
      <c r="L106" s="10">
        <v>0.0929</v>
      </c>
      <c r="M106" s="20">
        <f t="shared" si="15"/>
        <v>27028161.243414983</v>
      </c>
      <c r="N106" s="20">
        <f t="shared" si="18"/>
        <v>-341983391.54022175</v>
      </c>
      <c r="P106" s="3"/>
      <c r="S106" s="10">
        <v>17</v>
      </c>
      <c r="T106" s="20">
        <v>290938226.5168459</v>
      </c>
      <c r="U106" s="10">
        <v>0.0451</v>
      </c>
      <c r="V106" s="20">
        <f t="shared" si="16"/>
        <v>13121314.01590975</v>
      </c>
      <c r="W106" s="20">
        <f t="shared" si="19"/>
        <v>-490502638.69522464</v>
      </c>
      <c r="Y106" s="3"/>
    </row>
    <row r="107" spans="1:25" ht="15.75">
      <c r="A107" s="10">
        <v>18</v>
      </c>
      <c r="B107" s="20">
        <f>'RUGI LABA TK HUNIAN'!V108</f>
        <v>324845558.1212933</v>
      </c>
      <c r="C107" s="23">
        <f t="shared" si="17"/>
        <v>1675036897.0808496</v>
      </c>
      <c r="D107" s="26"/>
      <c r="E107" s="7" t="s">
        <v>119</v>
      </c>
      <c r="G107" s="3"/>
      <c r="J107" s="10">
        <v>18</v>
      </c>
      <c r="K107" s="20">
        <v>324845558.1212933</v>
      </c>
      <c r="L107" s="10">
        <v>0.0808</v>
      </c>
      <c r="M107" s="20">
        <f t="shared" si="15"/>
        <v>26247521.0962005</v>
      </c>
      <c r="N107" s="20">
        <f t="shared" si="18"/>
        <v>-315735870.4440212</v>
      </c>
      <c r="P107" s="3"/>
      <c r="S107" s="10">
        <v>18</v>
      </c>
      <c r="T107" s="20">
        <v>324845558.1212933</v>
      </c>
      <c r="U107" s="10">
        <v>0.0376</v>
      </c>
      <c r="V107" s="20">
        <f t="shared" si="16"/>
        <v>12214192.985360628</v>
      </c>
      <c r="W107" s="20">
        <f t="shared" si="19"/>
        <v>-478288445.709864</v>
      </c>
      <c r="Y107" s="3"/>
    </row>
    <row r="108" spans="1:25" ht="15.75">
      <c r="A108" s="10">
        <v>19</v>
      </c>
      <c r="B108" s="20">
        <f>'RUGI LABA TK HUNIAN'!AA94</f>
        <v>362167690.43094933</v>
      </c>
      <c r="C108" s="23">
        <f t="shared" si="17"/>
        <v>2037204587.5117989</v>
      </c>
      <c r="D108" s="26"/>
      <c r="G108" s="3"/>
      <c r="J108" s="10">
        <v>19</v>
      </c>
      <c r="K108" s="20">
        <v>362167690.43094933</v>
      </c>
      <c r="L108" s="10">
        <v>0.0703</v>
      </c>
      <c r="M108" s="20">
        <f t="shared" si="15"/>
        <v>25460388.637295738</v>
      </c>
      <c r="N108" s="20">
        <f t="shared" si="18"/>
        <v>-290275481.8067255</v>
      </c>
      <c r="P108" s="3"/>
      <c r="S108" s="10">
        <v>19</v>
      </c>
      <c r="T108" s="20">
        <v>362167690.43094933</v>
      </c>
      <c r="U108" s="10">
        <v>0.0313</v>
      </c>
      <c r="V108" s="20">
        <f t="shared" si="16"/>
        <v>11335848.710488714</v>
      </c>
      <c r="W108" s="20">
        <f t="shared" si="19"/>
        <v>-466952596.9993753</v>
      </c>
      <c r="Y108" s="3"/>
    </row>
    <row r="109" spans="1:25" ht="15.75">
      <c r="A109" s="10">
        <v>20</v>
      </c>
      <c r="B109" s="20">
        <f>'RUGI LABA TK HUNIAN'!AA101</f>
        <v>403246223.8540585</v>
      </c>
      <c r="C109" s="23">
        <f t="shared" si="17"/>
        <v>2440450811.365857</v>
      </c>
      <c r="D109" s="26"/>
      <c r="G109" s="8"/>
      <c r="J109" s="10">
        <v>20</v>
      </c>
      <c r="K109" s="20">
        <f>403246223.854059+1856250000</f>
        <v>2259496223.854059</v>
      </c>
      <c r="L109" s="10">
        <v>0.0611</v>
      </c>
      <c r="M109" s="20">
        <f t="shared" si="15"/>
        <v>138055219.27748302</v>
      </c>
      <c r="N109" s="20">
        <f t="shared" si="18"/>
        <v>-152220262.5292425</v>
      </c>
      <c r="P109" s="8"/>
      <c r="S109" s="10">
        <v>20</v>
      </c>
      <c r="T109" s="20">
        <v>2259496223.854059</v>
      </c>
      <c r="U109" s="10">
        <v>0.0261</v>
      </c>
      <c r="V109" s="20">
        <f t="shared" si="16"/>
        <v>58972851.44259095</v>
      </c>
      <c r="W109" s="20">
        <f t="shared" si="19"/>
        <v>-407979745.55678433</v>
      </c>
      <c r="Y109" s="8"/>
    </row>
    <row r="110" spans="7:25" ht="15.75">
      <c r="G110" s="8"/>
      <c r="P110" s="8"/>
      <c r="Y110" s="8"/>
    </row>
    <row r="111" spans="10:22" ht="15.75">
      <c r="J111" s="7" t="s">
        <v>123</v>
      </c>
      <c r="S111" s="7" t="s">
        <v>129</v>
      </c>
      <c r="V111" s="31"/>
    </row>
    <row r="112" spans="19:21" ht="15.75">
      <c r="S112" s="7" t="s">
        <v>134</v>
      </c>
      <c r="U112" s="31"/>
    </row>
  </sheetData>
  <mergeCells count="7">
    <mergeCell ref="A85:I85"/>
    <mergeCell ref="A2:C2"/>
    <mergeCell ref="A1:I1"/>
    <mergeCell ref="A29:I29"/>
    <mergeCell ref="A57:I57"/>
    <mergeCell ref="AB25:AC25"/>
    <mergeCell ref="AA2:AF2"/>
  </mergeCells>
  <printOptions/>
  <pageMargins left="1.15" right="0.7480314960629921" top="1.09" bottom="0.984251968503937" header="0.5118110236220472" footer="0.5118110236220472"/>
  <pageSetup orientation="landscape" paperSize="9" r:id="rId7"/>
  <drawing r:id="rId6"/>
  <legacyDrawing r:id="rId5"/>
  <oleObjects>
    <oleObject progId="Equation.3" shapeId="21977" r:id="rId1"/>
    <oleObject progId="Equation.3" shapeId="342469" r:id="rId2"/>
    <oleObject progId="Equation.3" shapeId="348637" r:id="rId3"/>
    <oleObject progId="Equation.3" shapeId="348928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E22" sqref="E22"/>
    </sheetView>
  </sheetViews>
  <sheetFormatPr defaultColWidth="9.140625" defaultRowHeight="12.75"/>
  <cols>
    <col min="1" max="1" width="21.140625" style="1" bestFit="1" customWidth="1"/>
    <col min="2" max="2" width="18.140625" style="1" customWidth="1"/>
    <col min="3" max="3" width="12.00390625" style="1" customWidth="1"/>
    <col min="4" max="16384" width="9.140625" style="1" customWidth="1"/>
  </cols>
  <sheetData>
    <row r="1" spans="1:14" ht="15.75">
      <c r="A1" s="66" t="s">
        <v>85</v>
      </c>
      <c r="B1" s="67"/>
      <c r="C1" s="67"/>
      <c r="D1" s="67"/>
      <c r="E1" s="67"/>
      <c r="F1" s="67"/>
      <c r="G1" s="32"/>
      <c r="H1" s="32"/>
      <c r="I1" s="32"/>
      <c r="J1" s="32"/>
      <c r="K1" s="32"/>
      <c r="L1" s="32"/>
      <c r="M1" s="32"/>
      <c r="N1" s="32"/>
    </row>
    <row r="3" spans="1:6" ht="15.75">
      <c r="A3" s="33" t="s">
        <v>83</v>
      </c>
      <c r="B3" s="70" t="s">
        <v>78</v>
      </c>
      <c r="C3" s="70" t="s">
        <v>79</v>
      </c>
      <c r="D3" s="69" t="s">
        <v>30</v>
      </c>
      <c r="E3" s="69"/>
      <c r="F3" s="69"/>
    </row>
    <row r="4" spans="1:6" ht="15.75">
      <c r="A4" s="34" t="s">
        <v>84</v>
      </c>
      <c r="B4" s="70"/>
      <c r="C4" s="70"/>
      <c r="D4" s="10" t="s">
        <v>80</v>
      </c>
      <c r="E4" s="10" t="s">
        <v>81</v>
      </c>
      <c r="F4" s="10" t="s">
        <v>82</v>
      </c>
    </row>
    <row r="5" spans="1:6" ht="15.75">
      <c r="A5" s="10">
        <v>11</v>
      </c>
      <c r="B5" s="20">
        <v>190922509</v>
      </c>
      <c r="C5" s="35">
        <v>0.1232</v>
      </c>
      <c r="D5" s="10">
        <v>12</v>
      </c>
      <c r="E5" s="10">
        <v>3</v>
      </c>
      <c r="F5" s="10">
        <v>8</v>
      </c>
    </row>
    <row r="6" spans="1:6" ht="15.75">
      <c r="A6" s="10">
        <v>10</v>
      </c>
      <c r="B6" s="20">
        <v>117549260</v>
      </c>
      <c r="C6" s="35">
        <v>0.11116</v>
      </c>
      <c r="D6" s="10">
        <v>13</v>
      </c>
      <c r="E6" s="10">
        <v>1</v>
      </c>
      <c r="F6" s="10">
        <v>26</v>
      </c>
    </row>
    <row r="7" spans="1:6" ht="15.75">
      <c r="A7" s="10">
        <v>9</v>
      </c>
      <c r="B7" s="20">
        <v>45005087</v>
      </c>
      <c r="C7" s="35">
        <v>0.1045</v>
      </c>
      <c r="D7" s="10">
        <v>14</v>
      </c>
      <c r="E7" s="10">
        <v>1</v>
      </c>
      <c r="F7" s="10">
        <v>24</v>
      </c>
    </row>
    <row r="8" spans="1:6" ht="15.75">
      <c r="A8" s="36">
        <v>8</v>
      </c>
      <c r="B8" s="29">
        <v>-27539086</v>
      </c>
      <c r="C8" s="37">
        <v>0.0973</v>
      </c>
      <c r="D8" s="36">
        <v>15</v>
      </c>
      <c r="E8" s="36">
        <v>3</v>
      </c>
      <c r="F8" s="36">
        <v>25</v>
      </c>
    </row>
  </sheetData>
  <mergeCells count="4">
    <mergeCell ref="D3:F3"/>
    <mergeCell ref="B3:B4"/>
    <mergeCell ref="C3:C4"/>
    <mergeCell ref="A1:F1"/>
  </mergeCells>
  <printOptions horizontalCentered="1" verticalCentered="1"/>
  <pageMargins left="0.7480314960629921" right="0.7480314960629921" top="0.67" bottom="1.91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45"/>
  <sheetViews>
    <sheetView workbookViewId="0" topLeftCell="AO1">
      <selection activeCell="AY12" sqref="AY12"/>
    </sheetView>
  </sheetViews>
  <sheetFormatPr defaultColWidth="9.140625" defaultRowHeight="12.75"/>
  <cols>
    <col min="1" max="21" width="5.7109375" style="0" customWidth="1"/>
    <col min="24" max="47" width="5.7109375" style="0" customWidth="1"/>
    <col min="49" max="49" width="9.57421875" style="0" customWidth="1"/>
    <col min="50" max="50" width="19.140625" style="0" customWidth="1"/>
    <col min="51" max="51" width="38.421875" style="0" customWidth="1"/>
    <col min="52" max="52" width="20.57421875" style="0" bestFit="1" customWidth="1"/>
  </cols>
  <sheetData>
    <row r="1" spans="1:49" ht="15.75">
      <c r="A1" s="71" t="s">
        <v>91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 t="s">
        <v>92</v>
      </c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W1" s="7" t="s">
        <v>151</v>
      </c>
    </row>
    <row r="2" ht="13.5" thickBot="1"/>
    <row r="3" spans="49:52" ht="15.75">
      <c r="AW3" s="53" t="s">
        <v>144</v>
      </c>
      <c r="AX3" s="53" t="s">
        <v>147</v>
      </c>
      <c r="AY3" s="53" t="s">
        <v>145</v>
      </c>
      <c r="AZ3" s="53" t="s">
        <v>149</v>
      </c>
    </row>
    <row r="4" spans="24:52" ht="16.5" thickBot="1"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W4" s="54"/>
      <c r="AX4" s="54" t="s">
        <v>148</v>
      </c>
      <c r="AY4" s="54" t="s">
        <v>146</v>
      </c>
      <c r="AZ4" s="54" t="s">
        <v>150</v>
      </c>
    </row>
    <row r="5" spans="24:52" ht="15.75"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W5" s="56">
        <v>1</v>
      </c>
      <c r="AX5" s="57">
        <v>108693310</v>
      </c>
      <c r="AY5" s="58">
        <f>AX5-AZ5</f>
        <v>53233875</v>
      </c>
      <c r="AZ5" s="59">
        <v>55459435</v>
      </c>
    </row>
    <row r="6" spans="49:52" ht="15.75">
      <c r="AW6" s="60">
        <v>2</v>
      </c>
      <c r="AX6" s="20">
        <v>119562641</v>
      </c>
      <c r="AY6" s="55">
        <f aca="true" t="shared" si="0" ref="AY6:AY24">AX6-AZ6</f>
        <v>56439036</v>
      </c>
      <c r="AZ6" s="61">
        <v>63123605</v>
      </c>
    </row>
    <row r="7" spans="49:52" ht="15.75">
      <c r="AW7" s="60">
        <v>3</v>
      </c>
      <c r="AX7" s="20">
        <v>131518905</v>
      </c>
      <c r="AY7" s="55">
        <f t="shared" si="0"/>
        <v>57857076</v>
      </c>
      <c r="AZ7" s="61">
        <v>73661829</v>
      </c>
    </row>
    <row r="8" spans="49:52" ht="15.75">
      <c r="AW8" s="60">
        <v>4</v>
      </c>
      <c r="AX8" s="20">
        <v>144670796</v>
      </c>
      <c r="AY8" s="55">
        <f t="shared" si="0"/>
        <v>59395791</v>
      </c>
      <c r="AZ8" s="61">
        <v>85275005</v>
      </c>
    </row>
    <row r="9" spans="49:52" ht="15.75">
      <c r="AW9" s="60">
        <v>5</v>
      </c>
      <c r="AX9" s="20">
        <v>159137875</v>
      </c>
      <c r="AY9" s="55">
        <f t="shared" si="0"/>
        <v>61067142</v>
      </c>
      <c r="AZ9" s="61">
        <v>98070733</v>
      </c>
    </row>
    <row r="10" spans="49:52" ht="15.75">
      <c r="AW10" s="60">
        <v>6</v>
      </c>
      <c r="AX10" s="20">
        <v>175051663</v>
      </c>
      <c r="AY10" s="55">
        <f t="shared" si="0"/>
        <v>62884288</v>
      </c>
      <c r="AZ10" s="61">
        <v>112167375</v>
      </c>
    </row>
    <row r="11" spans="49:52" ht="15.75">
      <c r="AW11" s="60">
        <v>7</v>
      </c>
      <c r="AX11" s="20">
        <v>192556829</v>
      </c>
      <c r="AY11" s="55">
        <f t="shared" si="0"/>
        <v>64861700</v>
      </c>
      <c r="AZ11" s="61">
        <v>127695129</v>
      </c>
    </row>
    <row r="12" spans="49:52" ht="15.75">
      <c r="AW12" s="60">
        <v>8</v>
      </c>
      <c r="AX12" s="20">
        <v>211812512</v>
      </c>
      <c r="AY12" s="55">
        <f t="shared" si="0"/>
        <v>67015299</v>
      </c>
      <c r="AZ12" s="61">
        <v>144797213</v>
      </c>
    </row>
    <row r="13" spans="49:52" ht="15.75">
      <c r="AW13" s="60">
        <v>9</v>
      </c>
      <c r="AX13" s="20">
        <v>232993763</v>
      </c>
      <c r="AY13" s="55">
        <f t="shared" si="0"/>
        <v>69362594</v>
      </c>
      <c r="AZ13" s="61">
        <v>163631169</v>
      </c>
    </row>
    <row r="14" spans="49:52" ht="15.75">
      <c r="AW14" s="60">
        <v>10</v>
      </c>
      <c r="AX14" s="20">
        <v>256293139</v>
      </c>
      <c r="AY14" s="55">
        <f t="shared" si="0"/>
        <v>71922847</v>
      </c>
      <c r="AZ14" s="61">
        <v>184370292</v>
      </c>
    </row>
    <row r="15" spans="49:52" ht="15.75">
      <c r="AW15" s="60">
        <v>11</v>
      </c>
      <c r="AX15" s="20">
        <v>281922453</v>
      </c>
      <c r="AY15" s="55">
        <f t="shared" si="0"/>
        <v>74717246</v>
      </c>
      <c r="AZ15" s="61">
        <v>207205207</v>
      </c>
    </row>
    <row r="16" spans="49:52" ht="15.75">
      <c r="AW16" s="60">
        <v>12</v>
      </c>
      <c r="AX16" s="20">
        <v>310114699</v>
      </c>
      <c r="AY16" s="55">
        <f t="shared" si="0"/>
        <v>77769097</v>
      </c>
      <c r="AZ16" s="61">
        <v>232345602</v>
      </c>
    </row>
    <row r="17" spans="1:52" ht="15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W17" s="38"/>
      <c r="AW17" s="60">
        <v>13</v>
      </c>
      <c r="AX17" s="20">
        <v>341126168</v>
      </c>
      <c r="AY17" s="55">
        <f t="shared" si="0"/>
        <v>81104031</v>
      </c>
      <c r="AZ17" s="61">
        <v>260022137</v>
      </c>
    </row>
    <row r="18" spans="1:52" ht="15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W18" s="38"/>
      <c r="AW18" s="60">
        <v>14</v>
      </c>
      <c r="AX18" s="20">
        <v>375238785</v>
      </c>
      <c r="AY18" s="55">
        <f t="shared" si="0"/>
        <v>84750250</v>
      </c>
      <c r="AZ18" s="61">
        <v>290488535</v>
      </c>
    </row>
    <row r="19" spans="1:52" ht="15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W19" s="38"/>
      <c r="AW19" s="60">
        <v>15</v>
      </c>
      <c r="AX19" s="20">
        <v>412762664</v>
      </c>
      <c r="AY19" s="55">
        <f t="shared" si="0"/>
        <v>88738770</v>
      </c>
      <c r="AZ19" s="61">
        <v>324023894</v>
      </c>
    </row>
    <row r="20" spans="49:52" ht="15.75">
      <c r="AW20" s="60">
        <v>16</v>
      </c>
      <c r="AX20" s="20">
        <v>454038930</v>
      </c>
      <c r="AY20" s="55">
        <f t="shared" si="0"/>
        <v>93103709</v>
      </c>
      <c r="AZ20" s="61">
        <v>360935221</v>
      </c>
    </row>
    <row r="21" spans="49:52" ht="15.75">
      <c r="AW21" s="60">
        <v>17</v>
      </c>
      <c r="AX21" s="20">
        <v>499442823</v>
      </c>
      <c r="AY21" s="55">
        <f t="shared" si="0"/>
        <v>97882597</v>
      </c>
      <c r="AZ21" s="61">
        <v>401560226</v>
      </c>
    </row>
    <row r="22" spans="49:52" ht="15.75">
      <c r="AW22" s="60">
        <v>18</v>
      </c>
      <c r="AX22" s="20">
        <v>549387106</v>
      </c>
      <c r="AY22" s="55">
        <f t="shared" si="0"/>
        <v>103116718</v>
      </c>
      <c r="AZ22" s="61">
        <v>446270388</v>
      </c>
    </row>
    <row r="23" spans="49:52" ht="15.75">
      <c r="AW23" s="60">
        <v>19</v>
      </c>
      <c r="AX23" s="20">
        <v>604325816</v>
      </c>
      <c r="AY23" s="55">
        <f t="shared" si="0"/>
        <v>108851478</v>
      </c>
      <c r="AZ23" s="61">
        <v>495474338</v>
      </c>
    </row>
    <row r="24" spans="49:52" ht="16.5" thickBot="1">
      <c r="AW24" s="62">
        <v>20</v>
      </c>
      <c r="AX24" s="30">
        <v>664758398</v>
      </c>
      <c r="AY24" s="63">
        <f t="shared" si="0"/>
        <v>115136831</v>
      </c>
      <c r="AZ24" s="64">
        <v>549621567</v>
      </c>
    </row>
    <row r="25" spans="2:49" ht="15.75">
      <c r="B25" s="65"/>
      <c r="AW25" s="42"/>
    </row>
    <row r="26" ht="15.75">
      <c r="B26" s="44"/>
    </row>
    <row r="27" ht="15.75">
      <c r="B27" s="44"/>
    </row>
    <row r="28" ht="15.75">
      <c r="B28" s="44"/>
    </row>
    <row r="29" ht="15.75">
      <c r="B29" s="44"/>
    </row>
    <row r="30" ht="15.75">
      <c r="B30" s="44"/>
    </row>
    <row r="31" ht="15.75">
      <c r="B31" s="44"/>
    </row>
    <row r="32" ht="15.75">
      <c r="B32" s="44"/>
    </row>
    <row r="33" ht="15.75">
      <c r="B33" s="44"/>
    </row>
    <row r="34" ht="15.75">
      <c r="B34" s="44"/>
    </row>
    <row r="35" ht="15.75">
      <c r="B35" s="44"/>
    </row>
    <row r="36" ht="15.75">
      <c r="B36" s="44"/>
    </row>
    <row r="37" ht="15.75">
      <c r="B37" s="44"/>
    </row>
    <row r="38" ht="15.75">
      <c r="B38" s="44"/>
    </row>
    <row r="39" ht="15.75">
      <c r="B39" s="44"/>
    </row>
    <row r="40" ht="15.75">
      <c r="B40" s="44"/>
    </row>
    <row r="41" ht="15.75">
      <c r="B41" s="44"/>
    </row>
    <row r="42" ht="15.75">
      <c r="B42" s="44"/>
    </row>
    <row r="43" ht="15.75">
      <c r="B43" s="44"/>
    </row>
    <row r="44" ht="15.75">
      <c r="B44" s="44"/>
    </row>
    <row r="45" ht="12.75">
      <c r="B45" s="38"/>
    </row>
  </sheetData>
  <mergeCells count="2">
    <mergeCell ref="X1:AU1"/>
    <mergeCell ref="A1:W1"/>
  </mergeCells>
  <printOptions verticalCentered="1"/>
  <pageMargins left="1.38" right="0.4724409448818898" top="0.5118110236220472" bottom="0.5905511811023623" header="0.35433070866141736" footer="0.2362204724409449"/>
  <pageSetup orientation="landscape" paperSize="9" scale="90" r:id="rId2"/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cp:lastPrinted>2003-09-16T13:24:55Z</cp:lastPrinted>
  <dcterms:created xsi:type="dcterms:W3CDTF">2003-07-15T01:55:50Z</dcterms:created>
  <dcterms:modified xsi:type="dcterms:W3CDTF">2003-09-16T13:36:37Z</dcterms:modified>
  <cp:category/>
  <cp:version/>
  <cp:contentType/>
  <cp:contentStatus/>
</cp:coreProperties>
</file>